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codeName="ThisWorkbook"/>
  <mc:AlternateContent xmlns:mc="http://schemas.openxmlformats.org/markup-compatibility/2006">
    <mc:Choice Requires="x15">
      <x15ac:absPath xmlns:x15ac="http://schemas.microsoft.com/office/spreadsheetml/2010/11/ac" url="/Users/veronika/Desktop/"/>
    </mc:Choice>
  </mc:AlternateContent>
  <xr:revisionPtr revIDLastSave="0" documentId="13_ncr:1_{EC579AEC-2B1B-1D48-9FEB-DC89DA56E691}" xr6:coauthVersionLast="47" xr6:coauthVersionMax="47" xr10:uidLastSave="{00000000-0000-0000-0000-000000000000}"/>
  <bookViews>
    <workbookView xWindow="0" yWindow="500" windowWidth="20740" windowHeight="11160" tabRatio="757" xr2:uid="{00000000-000D-0000-FFFF-FFFF00000000}"/>
  </bookViews>
  <sheets>
    <sheet name="0. Intro" sheetId="1" r:id="rId1"/>
    <sheet name="1. General" sheetId="2" r:id="rId2"/>
    <sheet name="2. Company Facts" sheetId="3" r:id="rId3"/>
    <sheet name="3. Calc" sheetId="4" r:id="rId4"/>
    <sheet name="9. Weighting" sheetId="5" r:id="rId5"/>
    <sheet name="4. ECG-Matrix" sheetId="6" r:id="rId6"/>
    <sheet name="5. Values" sheetId="7" r:id="rId7"/>
    <sheet name="6. Stakeholder" sheetId="8" r:id="rId8"/>
    <sheet name="7. Topics" sheetId="9" r:id="rId9"/>
    <sheet name="8. Descr.Weighting" sheetId="10" r:id="rId10"/>
    <sheet name="9. Change-Management" sheetId="16" r:id="rId11"/>
    <sheet name="10. Industry" sheetId="11" r:id="rId12"/>
    <sheet name="11.Region" sheetId="12" r:id="rId13"/>
    <sheet name="12.lan" sheetId="13" r:id="rId14"/>
  </sheets>
  <definedNames>
    <definedName name="__xlfn_IFERROR">#N/A</definedName>
    <definedName name="Branche">'10. Industry'!$B$4:$B$32</definedName>
    <definedName name="Branchen">'10. Industry'!$B$4:$B$32</definedName>
    <definedName name="CountryCodes">'11.Region'!$A$22:$A$243</definedName>
    <definedName name="JaNein">'2. Company Facts'!$D$34:$F$34</definedName>
    <definedName name="Regionen">'11.Region'!$A$21:$A$243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9" i="5" l="1"/>
  <c r="P43" i="5" l="1"/>
  <c r="M24" i="5" l="1"/>
  <c r="M30" i="5"/>
  <c r="M37" i="5"/>
  <c r="M43" i="5"/>
  <c r="M16" i="5"/>
  <c r="D10" i="4" s="1"/>
  <c r="M10" i="4" s="1"/>
  <c r="N16" i="5"/>
  <c r="N30" i="5"/>
  <c r="N37" i="5"/>
  <c r="P16" i="5"/>
  <c r="O16" i="5"/>
  <c r="O24" i="5"/>
  <c r="O37" i="5"/>
  <c r="O43" i="5"/>
  <c r="P24" i="5"/>
  <c r="O35" i="4" s="1"/>
  <c r="L35" i="4" s="1"/>
  <c r="P30" i="5"/>
  <c r="P37" i="5"/>
  <c r="D92" i="4"/>
  <c r="K90" i="4" s="1"/>
  <c r="C2" i="13"/>
  <c r="C1" i="13"/>
  <c r="D352" i="13" s="1"/>
  <c r="A35" i="12" s="1"/>
  <c r="I26" i="5"/>
  <c r="H40" i="5" s="1"/>
  <c r="I32" i="5"/>
  <c r="E23" i="5" s="1"/>
  <c r="I23" i="5"/>
  <c r="D88" i="4"/>
  <c r="D87" i="4"/>
  <c r="I35" i="5"/>
  <c r="C34" i="11"/>
  <c r="I36" i="5"/>
  <c r="C35" i="11" s="1"/>
  <c r="I37" i="5"/>
  <c r="C36" i="11" s="1"/>
  <c r="J37" i="11"/>
  <c r="D82" i="4"/>
  <c r="K81" i="4" s="1"/>
  <c r="I19" i="5"/>
  <c r="I20" i="5" s="1"/>
  <c r="N43" i="5" s="1"/>
  <c r="D79" i="4"/>
  <c r="D78" i="4"/>
  <c r="K53" i="5"/>
  <c r="L76" i="4" s="1"/>
  <c r="D76" i="4" s="1"/>
  <c r="D74" i="4"/>
  <c r="D73" i="4"/>
  <c r="I33" i="5"/>
  <c r="D70" i="4"/>
  <c r="D69" i="4"/>
  <c r="K68" i="4"/>
  <c r="D66" i="4"/>
  <c r="D65" i="4"/>
  <c r="D61" i="4"/>
  <c r="K60" i="4" s="1"/>
  <c r="O61" i="4"/>
  <c r="D62" i="4"/>
  <c r="K62" i="4" s="1"/>
  <c r="K52" i="5"/>
  <c r="L59" i="4"/>
  <c r="D59" i="4" s="1"/>
  <c r="D57" i="4"/>
  <c r="D56" i="4"/>
  <c r="D55" i="4"/>
  <c r="C10" i="12"/>
  <c r="C13" i="12" s="1"/>
  <c r="C11" i="12"/>
  <c r="C12" i="12"/>
  <c r="D13" i="12"/>
  <c r="I13" i="12" s="1"/>
  <c r="D52" i="4"/>
  <c r="D51" i="4"/>
  <c r="D50" i="4"/>
  <c r="M50" i="4" s="1"/>
  <c r="D47" i="4"/>
  <c r="D46" i="4"/>
  <c r="D45" i="4"/>
  <c r="D42" i="4"/>
  <c r="D41" i="4"/>
  <c r="D40" i="4"/>
  <c r="K39" i="4" s="1"/>
  <c r="I25" i="5"/>
  <c r="B10" i="12"/>
  <c r="I13" i="5"/>
  <c r="C3" i="12" s="1"/>
  <c r="I14" i="5"/>
  <c r="C4" i="12"/>
  <c r="I15" i="5"/>
  <c r="C5" i="12"/>
  <c r="I16" i="5"/>
  <c r="C6" i="12" s="1"/>
  <c r="I17" i="5"/>
  <c r="C7" i="12" s="1"/>
  <c r="F15" i="3"/>
  <c r="I18" i="5"/>
  <c r="C8" i="12" s="1"/>
  <c r="I21" i="5"/>
  <c r="I22" i="5"/>
  <c r="G24" i="5"/>
  <c r="E22" i="5" s="1"/>
  <c r="D33" i="4"/>
  <c r="D32" i="4"/>
  <c r="K31" i="4" s="1"/>
  <c r="I24" i="5"/>
  <c r="D27" i="4"/>
  <c r="D26" i="4"/>
  <c r="D25" i="4"/>
  <c r="D22" i="4"/>
  <c r="K20" i="4" s="1"/>
  <c r="D21" i="4"/>
  <c r="K17" i="4"/>
  <c r="D15" i="4"/>
  <c r="K13" i="4" s="1"/>
  <c r="O10" i="4"/>
  <c r="L10" i="4" s="1"/>
  <c r="M3" i="1"/>
  <c r="M4" i="1"/>
  <c r="M5" i="1"/>
  <c r="M6" i="1"/>
  <c r="M7" i="1"/>
  <c r="M8" i="1"/>
  <c r="M9" i="1"/>
  <c r="M10" i="1"/>
  <c r="M11" i="1"/>
  <c r="M12" i="1"/>
  <c r="M2" i="1"/>
  <c r="F43" i="3"/>
  <c r="D7" i="3"/>
  <c r="N18" i="4"/>
  <c r="N11" i="4"/>
  <c r="C4" i="13"/>
  <c r="C5" i="13"/>
  <c r="C6" i="13"/>
  <c r="C7" i="13"/>
  <c r="C8" i="13"/>
  <c r="C9" i="13"/>
  <c r="C10" i="13"/>
  <c r="C11" i="13"/>
  <c r="C12" i="13"/>
  <c r="C3" i="13"/>
  <c r="M57" i="4"/>
  <c r="K561" i="13"/>
  <c r="K560" i="13"/>
  <c r="K559" i="13"/>
  <c r="K558" i="13"/>
  <c r="K557" i="13"/>
  <c r="K556" i="13"/>
  <c r="K555" i="13"/>
  <c r="K554" i="13"/>
  <c r="K553" i="13"/>
  <c r="K552" i="13"/>
  <c r="K551" i="13"/>
  <c r="K550" i="13"/>
  <c r="K549" i="13"/>
  <c r="K548" i="13"/>
  <c r="K547" i="13"/>
  <c r="K546" i="13"/>
  <c r="K545" i="13"/>
  <c r="K544" i="13"/>
  <c r="K543" i="13"/>
  <c r="K542" i="13"/>
  <c r="K541" i="13"/>
  <c r="K540" i="13"/>
  <c r="K539" i="13"/>
  <c r="K538" i="13"/>
  <c r="K537" i="13"/>
  <c r="K536" i="13"/>
  <c r="K535" i="13"/>
  <c r="K534" i="13"/>
  <c r="K533" i="13"/>
  <c r="K532" i="13"/>
  <c r="K531" i="13"/>
  <c r="K530" i="13"/>
  <c r="K529" i="13"/>
  <c r="K528" i="13"/>
  <c r="K527" i="13"/>
  <c r="K526" i="13"/>
  <c r="K525" i="13"/>
  <c r="K524" i="13"/>
  <c r="K523" i="13"/>
  <c r="K522" i="13"/>
  <c r="K521" i="13"/>
  <c r="K520" i="13"/>
  <c r="K519" i="13"/>
  <c r="K518" i="13"/>
  <c r="K517" i="13"/>
  <c r="K516" i="13"/>
  <c r="K515" i="13"/>
  <c r="K514" i="13"/>
  <c r="K513" i="13"/>
  <c r="K512" i="13"/>
  <c r="K511" i="13"/>
  <c r="K510" i="13"/>
  <c r="K509" i="13"/>
  <c r="K508" i="13"/>
  <c r="K507" i="13"/>
  <c r="K506" i="13"/>
  <c r="K505" i="13"/>
  <c r="K504" i="13"/>
  <c r="K503" i="13"/>
  <c r="K502" i="13"/>
  <c r="K501" i="13"/>
  <c r="K500" i="13"/>
  <c r="K499" i="13"/>
  <c r="K498" i="13"/>
  <c r="K497" i="13"/>
  <c r="K496" i="13"/>
  <c r="K495" i="13"/>
  <c r="K494" i="13"/>
  <c r="K493" i="13"/>
  <c r="K492" i="13"/>
  <c r="K491" i="13"/>
  <c r="K490" i="13"/>
  <c r="K489" i="13"/>
  <c r="K488" i="13"/>
  <c r="K487" i="13"/>
  <c r="K486" i="13"/>
  <c r="K485" i="13"/>
  <c r="K484" i="13"/>
  <c r="K483" i="13"/>
  <c r="K482" i="13"/>
  <c r="K481" i="13"/>
  <c r="K480" i="13"/>
  <c r="K479" i="13"/>
  <c r="K478" i="13"/>
  <c r="K477" i="13"/>
  <c r="K476" i="13"/>
  <c r="K475" i="13"/>
  <c r="K474" i="13"/>
  <c r="K473" i="13"/>
  <c r="K472" i="13"/>
  <c r="K471" i="13"/>
  <c r="K470" i="13"/>
  <c r="K469" i="13"/>
  <c r="K468" i="13"/>
  <c r="K467" i="13"/>
  <c r="K466" i="13"/>
  <c r="K465" i="13"/>
  <c r="K464" i="13"/>
  <c r="K463" i="13"/>
  <c r="K462" i="13"/>
  <c r="K461" i="13"/>
  <c r="K460" i="13"/>
  <c r="K459" i="13"/>
  <c r="K458" i="13"/>
  <c r="K457" i="13"/>
  <c r="K456" i="13"/>
  <c r="K455" i="13"/>
  <c r="K454" i="13"/>
  <c r="K453" i="13"/>
  <c r="K452" i="13"/>
  <c r="K451" i="13"/>
  <c r="K450" i="13"/>
  <c r="K449" i="13"/>
  <c r="K448" i="13"/>
  <c r="K447" i="13"/>
  <c r="K446" i="13"/>
  <c r="K445" i="13"/>
  <c r="K444" i="13"/>
  <c r="K443" i="13"/>
  <c r="K442" i="13"/>
  <c r="K441" i="13"/>
  <c r="K440" i="13"/>
  <c r="K439" i="13"/>
  <c r="K438" i="13"/>
  <c r="K437" i="13"/>
  <c r="K436" i="13"/>
  <c r="K435" i="13"/>
  <c r="K434" i="13"/>
  <c r="K433" i="13"/>
  <c r="K432" i="13"/>
  <c r="K431" i="13"/>
  <c r="K430" i="13"/>
  <c r="K429" i="13"/>
  <c r="K428" i="13"/>
  <c r="K427" i="13"/>
  <c r="K426" i="13"/>
  <c r="K425" i="13"/>
  <c r="K424" i="13"/>
  <c r="K423" i="13"/>
  <c r="K422" i="13"/>
  <c r="K421" i="13"/>
  <c r="K420" i="13"/>
  <c r="K419" i="13"/>
  <c r="K418" i="13"/>
  <c r="K417" i="13"/>
  <c r="K416" i="13"/>
  <c r="K415" i="13"/>
  <c r="K414" i="13"/>
  <c r="K413" i="13"/>
  <c r="K412" i="13"/>
  <c r="K411" i="13"/>
  <c r="K410" i="13"/>
  <c r="K409" i="13"/>
  <c r="K408" i="13"/>
  <c r="K407" i="13"/>
  <c r="K406" i="13"/>
  <c r="K405" i="13"/>
  <c r="K404" i="13"/>
  <c r="K403" i="13"/>
  <c r="K402" i="13"/>
  <c r="K401" i="13"/>
  <c r="K400" i="13"/>
  <c r="K399" i="13"/>
  <c r="K398" i="13"/>
  <c r="K397" i="13"/>
  <c r="K396" i="13"/>
  <c r="K395" i="13"/>
  <c r="K394" i="13"/>
  <c r="K393" i="13"/>
  <c r="K392" i="13"/>
  <c r="K391" i="13"/>
  <c r="K390" i="13"/>
  <c r="K389" i="13"/>
  <c r="K388" i="13"/>
  <c r="K387" i="13"/>
  <c r="K386" i="13"/>
  <c r="K385" i="13"/>
  <c r="K384" i="13"/>
  <c r="K383" i="13"/>
  <c r="K382" i="13"/>
  <c r="K381" i="13"/>
  <c r="K380" i="13"/>
  <c r="K379" i="13"/>
  <c r="K378" i="13"/>
  <c r="K377" i="13"/>
  <c r="K376" i="13"/>
  <c r="K375" i="13"/>
  <c r="K374" i="13"/>
  <c r="K373" i="13"/>
  <c r="K372" i="13"/>
  <c r="K371" i="13"/>
  <c r="K370" i="13"/>
  <c r="K369" i="13"/>
  <c r="K368" i="13"/>
  <c r="K367" i="13"/>
  <c r="K366" i="13"/>
  <c r="K365" i="13"/>
  <c r="K364" i="13"/>
  <c r="K363" i="13"/>
  <c r="K362" i="13"/>
  <c r="K361" i="13"/>
  <c r="K360" i="13"/>
  <c r="K359" i="13"/>
  <c r="K358" i="13"/>
  <c r="K357" i="13"/>
  <c r="K356" i="13"/>
  <c r="K355" i="13"/>
  <c r="K354" i="13"/>
  <c r="K353" i="13"/>
  <c r="K352" i="13"/>
  <c r="K351" i="13"/>
  <c r="K350" i="13"/>
  <c r="K349" i="13"/>
  <c r="K348" i="13"/>
  <c r="K347" i="13"/>
  <c r="K346" i="13"/>
  <c r="K345" i="13"/>
  <c r="K344" i="13"/>
  <c r="K343" i="13"/>
  <c r="K342" i="13"/>
  <c r="K341" i="13"/>
  <c r="K340" i="13"/>
  <c r="K339" i="13"/>
  <c r="G338" i="13"/>
  <c r="G337" i="13"/>
  <c r="G336" i="13"/>
  <c r="G335" i="13"/>
  <c r="G334" i="13"/>
  <c r="G333" i="13"/>
  <c r="G331" i="13"/>
  <c r="G328" i="13"/>
  <c r="E153" i="13"/>
  <c r="F59" i="13"/>
  <c r="F57" i="13"/>
  <c r="L37" i="11"/>
  <c r="E30" i="3"/>
  <c r="F41" i="3"/>
  <c r="M14" i="4"/>
  <c r="O14" i="4"/>
  <c r="L14" i="4"/>
  <c r="O15" i="4"/>
  <c r="L15" i="4" s="1"/>
  <c r="M21" i="4"/>
  <c r="O21" i="4"/>
  <c r="L21" i="4" s="1"/>
  <c r="O22" i="4"/>
  <c r="L22" i="4" s="1"/>
  <c r="K25" i="4"/>
  <c r="O25" i="4"/>
  <c r="L25" i="4"/>
  <c r="K26" i="4"/>
  <c r="O26" i="4"/>
  <c r="L26" i="4"/>
  <c r="M27" i="4"/>
  <c r="O27" i="4"/>
  <c r="L27" i="4"/>
  <c r="L29" i="4"/>
  <c r="M29" i="4"/>
  <c r="O32" i="4"/>
  <c r="L32" i="4"/>
  <c r="K33" i="4"/>
  <c r="O33" i="4"/>
  <c r="L33" i="4"/>
  <c r="M40" i="4"/>
  <c r="O40" i="4"/>
  <c r="L40" i="4" s="1"/>
  <c r="M41" i="4"/>
  <c r="O41" i="4"/>
  <c r="L41" i="4" s="1"/>
  <c r="K42" i="4"/>
  <c r="O42" i="4"/>
  <c r="L42" i="4"/>
  <c r="M45" i="4"/>
  <c r="O45" i="4"/>
  <c r="L45" i="4" s="1"/>
  <c r="M46" i="4"/>
  <c r="O46" i="4"/>
  <c r="L46" i="4" s="1"/>
  <c r="M47" i="4"/>
  <c r="O47" i="4"/>
  <c r="L47" i="4"/>
  <c r="O50" i="4"/>
  <c r="L50" i="4"/>
  <c r="M51" i="4"/>
  <c r="O51" i="4"/>
  <c r="L51" i="4"/>
  <c r="M52" i="4"/>
  <c r="O52" i="4"/>
  <c r="L52" i="4" s="1"/>
  <c r="M55" i="4"/>
  <c r="O55" i="4"/>
  <c r="L55" i="4" s="1"/>
  <c r="K55" i="4"/>
  <c r="M56" i="4"/>
  <c r="O56" i="4"/>
  <c r="L56" i="4"/>
  <c r="O57" i="4"/>
  <c r="L57" i="4" s="1"/>
  <c r="K61" i="4"/>
  <c r="L61" i="4"/>
  <c r="O62" i="4"/>
  <c r="L62" i="4"/>
  <c r="M65" i="4"/>
  <c r="K65" i="4"/>
  <c r="O65" i="4"/>
  <c r="L65" i="4"/>
  <c r="K66" i="4"/>
  <c r="O66" i="4"/>
  <c r="L66" i="4"/>
  <c r="M69" i="4"/>
  <c r="O69" i="4"/>
  <c r="L69" i="4" s="1"/>
  <c r="M70" i="4"/>
  <c r="O70" i="4"/>
  <c r="L70" i="4" s="1"/>
  <c r="M73" i="4"/>
  <c r="O73" i="4"/>
  <c r="L73" i="4"/>
  <c r="K74" i="4"/>
  <c r="O74" i="4"/>
  <c r="L74" i="4" s="1"/>
  <c r="M78" i="4"/>
  <c r="O78" i="4"/>
  <c r="L78" i="4"/>
  <c r="M79" i="4"/>
  <c r="O79" i="4"/>
  <c r="L79" i="4"/>
  <c r="K82" i="4"/>
  <c r="O82" i="4"/>
  <c r="L82" i="4"/>
  <c r="K83" i="4"/>
  <c r="O83" i="4"/>
  <c r="L83" i="4"/>
  <c r="K87" i="4"/>
  <c r="O87" i="4"/>
  <c r="L87" i="4" s="1"/>
  <c r="K88" i="4"/>
  <c r="O88" i="4"/>
  <c r="L88" i="4" s="1"/>
  <c r="K91" i="4"/>
  <c r="O91" i="4"/>
  <c r="L91" i="4"/>
  <c r="K92" i="4"/>
  <c r="O92" i="4"/>
  <c r="L92" i="4" s="1"/>
  <c r="I10" i="5"/>
  <c r="B3" i="12" s="1"/>
  <c r="Q14" i="5"/>
  <c r="I27" i="5"/>
  <c r="I28" i="5"/>
  <c r="I29" i="5"/>
  <c r="I30" i="5"/>
  <c r="G35" i="5"/>
  <c r="G36" i="5"/>
  <c r="G37" i="5"/>
  <c r="K14" i="4"/>
  <c r="K56" i="4"/>
  <c r="M74" i="4"/>
  <c r="K52" i="4"/>
  <c r="K27" i="4"/>
  <c r="M87" i="4"/>
  <c r="M91" i="4"/>
  <c r="K51" i="4"/>
  <c r="K47" i="4"/>
  <c r="M32" i="4"/>
  <c r="K21" i="4"/>
  <c r="M26" i="4"/>
  <c r="K69" i="4"/>
  <c r="I31" i="5"/>
  <c r="K46" i="4"/>
  <c r="K79" i="4"/>
  <c r="K41" i="4"/>
  <c r="M83" i="4"/>
  <c r="M25" i="4"/>
  <c r="K73" i="4"/>
  <c r="M88" i="4"/>
  <c r="M82" i="4"/>
  <c r="K57" i="4"/>
  <c r="K49" i="4"/>
  <c r="M66" i="4"/>
  <c r="K70" i="4"/>
  <c r="M42" i="4"/>
  <c r="F10" i="4"/>
  <c r="K45" i="4"/>
  <c r="M92" i="4"/>
  <c r="K78" i="4"/>
  <c r="M33" i="4"/>
  <c r="K40" i="4"/>
  <c r="R53" i="5" l="1"/>
  <c r="K66" i="5" s="1"/>
  <c r="N76" i="4"/>
  <c r="C37" i="11"/>
  <c r="F39" i="4"/>
  <c r="O39" i="4"/>
  <c r="L39" i="4" s="1"/>
  <c r="N59" i="4"/>
  <c r="R52" i="5"/>
  <c r="K65" i="5" s="1"/>
  <c r="C38" i="11"/>
  <c r="M61" i="4"/>
  <c r="M62" i="4"/>
  <c r="K15" i="4"/>
  <c r="K24" i="4"/>
  <c r="K50" i="4"/>
  <c r="M15" i="4"/>
  <c r="N15" i="4" s="1"/>
  <c r="K64" i="4"/>
  <c r="O64" i="4" s="1"/>
  <c r="L64" i="4" s="1"/>
  <c r="M22" i="4"/>
  <c r="K44" i="4"/>
  <c r="K77" i="4"/>
  <c r="K22" i="4"/>
  <c r="K32" i="4"/>
  <c r="F60" i="4"/>
  <c r="K54" i="4"/>
  <c r="K72" i="4"/>
  <c r="F72" i="4" s="1"/>
  <c r="D39" i="4"/>
  <c r="K86" i="4"/>
  <c r="O30" i="5"/>
  <c r="M14" i="5"/>
  <c r="F35" i="4"/>
  <c r="D35" i="4"/>
  <c r="M35" i="4" s="1"/>
  <c r="N35" i="4" s="1"/>
  <c r="O60" i="4"/>
  <c r="L60" i="4" s="1"/>
  <c r="D60" i="4"/>
  <c r="M60" i="4" s="1"/>
  <c r="N24" i="5"/>
  <c r="F13" i="4"/>
  <c r="O13" i="4"/>
  <c r="L13" i="4" s="1"/>
  <c r="D13" i="4"/>
  <c r="M35" i="5"/>
  <c r="M65" i="5" s="1"/>
  <c r="O44" i="4"/>
  <c r="L44" i="4" s="1"/>
  <c r="F44" i="4"/>
  <c r="D44" i="4"/>
  <c r="F77" i="4"/>
  <c r="D77" i="4"/>
  <c r="O77" i="4"/>
  <c r="L77" i="4" s="1"/>
  <c r="F49" i="4"/>
  <c r="N82" i="4"/>
  <c r="D119" i="13"/>
  <c r="C20" i="4" s="1"/>
  <c r="D268" i="13"/>
  <c r="B4" i="11" s="1"/>
  <c r="D68" i="13"/>
  <c r="B10" i="2" s="1"/>
  <c r="D142" i="13"/>
  <c r="C43" i="4" s="1"/>
  <c r="D118" i="13"/>
  <c r="C19" i="4" s="1"/>
  <c r="D20" i="13"/>
  <c r="D71" i="13"/>
  <c r="D2" i="13"/>
  <c r="D215" i="13"/>
  <c r="D65" i="13"/>
  <c r="B7" i="2" s="1"/>
  <c r="D334" i="13"/>
  <c r="D223" i="13"/>
  <c r="D107" i="13"/>
  <c r="C8" i="4" s="1"/>
  <c r="N92" i="4"/>
  <c r="D308" i="13"/>
  <c r="B22" i="3" s="1"/>
  <c r="D49" i="13"/>
  <c r="D233" i="13"/>
  <c r="D290" i="13"/>
  <c r="B26" i="11" s="1"/>
  <c r="D202" i="13"/>
  <c r="C13" i="3" s="1"/>
  <c r="G16" i="5" s="1"/>
  <c r="K6" i="12" s="1"/>
  <c r="D283" i="13"/>
  <c r="B19" i="11" s="1"/>
  <c r="D31" i="13"/>
  <c r="B19" i="1" s="1"/>
  <c r="D227" i="13"/>
  <c r="D184" i="13"/>
  <c r="C85" i="4" s="1"/>
  <c r="D157" i="13"/>
  <c r="C58" i="4" s="1"/>
  <c r="D277" i="13"/>
  <c r="B13" i="11" s="1"/>
  <c r="D289" i="13"/>
  <c r="B25" i="11" s="1"/>
  <c r="D120" i="13"/>
  <c r="C21" i="4" s="1"/>
  <c r="D237" i="13"/>
  <c r="D108" i="13"/>
  <c r="C9" i="4" s="1"/>
  <c r="D17" i="13"/>
  <c r="D15" i="1" s="1"/>
  <c r="D305" i="13"/>
  <c r="B19" i="3" s="1"/>
  <c r="D23" i="13"/>
  <c r="D21" i="1" s="1"/>
  <c r="D213" i="13"/>
  <c r="B3" i="6" s="1"/>
  <c r="D113" i="13"/>
  <c r="C14" i="4" s="1"/>
  <c r="D136" i="13"/>
  <c r="C37" i="4" s="1"/>
  <c r="D338" i="13"/>
  <c r="D537" i="13"/>
  <c r="A220" i="12" s="1"/>
  <c r="D222" i="13"/>
  <c r="D242" i="13"/>
  <c r="B3" i="8" s="1"/>
  <c r="D116" i="13"/>
  <c r="B116" i="13" s="1"/>
  <c r="K8" i="6" s="1"/>
  <c r="D259" i="13"/>
  <c r="C19" i="10" s="1"/>
  <c r="D252" i="13"/>
  <c r="C12" i="10" s="1"/>
  <c r="D232" i="13"/>
  <c r="D317" i="13"/>
  <c r="B37" i="3" s="1"/>
  <c r="D201" i="13"/>
  <c r="D162" i="13"/>
  <c r="C63" i="4" s="1"/>
  <c r="D326" i="13"/>
  <c r="D282" i="13"/>
  <c r="B18" i="11" s="1"/>
  <c r="D112" i="13"/>
  <c r="D52" i="13"/>
  <c r="M2" i="3" s="1"/>
  <c r="D88" i="13"/>
  <c r="D185" i="13"/>
  <c r="D279" i="13"/>
  <c r="B15" i="11" s="1"/>
  <c r="D296" i="13"/>
  <c r="B32" i="11" s="1"/>
  <c r="D269" i="13"/>
  <c r="B5" i="11" s="1"/>
  <c r="D84" i="13"/>
  <c r="D197" i="13"/>
  <c r="D127" i="13"/>
  <c r="C28" i="4" s="1"/>
  <c r="D316" i="13"/>
  <c r="B34" i="3" s="1"/>
  <c r="D189" i="13"/>
  <c r="C90" i="4" s="1"/>
  <c r="D236" i="13"/>
  <c r="D16" i="13"/>
  <c r="D14" i="1" s="1"/>
  <c r="D137" i="13"/>
  <c r="B20" i="8" s="1"/>
  <c r="D200" i="13"/>
  <c r="D330" i="13"/>
  <c r="F71" i="4" s="1"/>
  <c r="D322" i="13"/>
  <c r="D40" i="3" s="1"/>
  <c r="D174" i="13"/>
  <c r="C75" i="4" s="1"/>
  <c r="D102" i="13"/>
  <c r="F8" i="4" s="1"/>
  <c r="D169" i="13"/>
  <c r="C70" i="4" s="1"/>
  <c r="D286" i="13"/>
  <c r="B22" i="11" s="1"/>
  <c r="D94" i="13"/>
  <c r="D313" i="13"/>
  <c r="B29" i="3" s="1"/>
  <c r="D505" i="13"/>
  <c r="A188" i="12" s="1"/>
  <c r="D433" i="13"/>
  <c r="A116" i="12" s="1"/>
  <c r="N83" i="4"/>
  <c r="D473" i="13"/>
  <c r="A156" i="12" s="1"/>
  <c r="D401" i="13"/>
  <c r="A84" i="12" s="1"/>
  <c r="D369" i="13"/>
  <c r="A52" i="12" s="1"/>
  <c r="D285" i="13"/>
  <c r="B21" i="11" s="1"/>
  <c r="D58" i="13"/>
  <c r="B38" i="1" s="1"/>
  <c r="D258" i="13"/>
  <c r="C18" i="10" s="1"/>
  <c r="D110" i="13"/>
  <c r="C11" i="4" s="1"/>
  <c r="D29" i="13"/>
  <c r="B11" i="1" s="1"/>
  <c r="D141" i="13"/>
  <c r="C42" i="4" s="1"/>
  <c r="D239" i="13"/>
  <c r="D324" i="13"/>
  <c r="H39" i="5" s="1"/>
  <c r="C46" i="3" s="1"/>
  <c r="D274" i="13"/>
  <c r="B10" i="11" s="1"/>
  <c r="D171" i="13"/>
  <c r="C72" i="4" s="1"/>
  <c r="D196" i="13"/>
  <c r="D240" i="13"/>
  <c r="D291" i="13"/>
  <c r="B27" i="11" s="1"/>
  <c r="D53" i="13"/>
  <c r="M3" i="3" s="1"/>
  <c r="D180" i="13"/>
  <c r="D37" i="13"/>
  <c r="B25" i="1" s="1"/>
  <c r="D129" i="13"/>
  <c r="C30" i="4" s="1"/>
  <c r="D205" i="13"/>
  <c r="A6" i="10" s="1"/>
  <c r="D266" i="13"/>
  <c r="C26" i="10" s="1"/>
  <c r="D9" i="13"/>
  <c r="B8" i="1" s="1"/>
  <c r="D121" i="13"/>
  <c r="C22" i="4" s="1"/>
  <c r="D212" i="13"/>
  <c r="I2" i="6" s="1"/>
  <c r="D56" i="13"/>
  <c r="B36" i="1" s="1"/>
  <c r="D186" i="13"/>
  <c r="C87" i="4" s="1"/>
  <c r="D5" i="13"/>
  <c r="D170" i="13"/>
  <c r="C71" i="4" s="1"/>
  <c r="D85" i="13"/>
  <c r="D80" i="13"/>
  <c r="B24" i="2" s="1"/>
  <c r="D273" i="13"/>
  <c r="B9" i="11" s="1"/>
  <c r="D11" i="13"/>
  <c r="D9" i="1" s="1"/>
  <c r="D191" i="13"/>
  <c r="C92" i="4" s="1"/>
  <c r="D302" i="13"/>
  <c r="F9" i="3" s="1"/>
  <c r="D144" i="13"/>
  <c r="C45" i="4" s="1"/>
  <c r="D12" i="13"/>
  <c r="D10" i="1" s="1"/>
  <c r="D226" i="13"/>
  <c r="N74" i="4"/>
  <c r="N73" i="4"/>
  <c r="N69" i="4"/>
  <c r="D532" i="13"/>
  <c r="A215" i="12" s="1"/>
  <c r="D500" i="13"/>
  <c r="A183" i="12" s="1"/>
  <c r="D468" i="13"/>
  <c r="A151" i="12" s="1"/>
  <c r="D432" i="13"/>
  <c r="A115" i="12" s="1"/>
  <c r="D400" i="13"/>
  <c r="A83" i="12" s="1"/>
  <c r="D368" i="13"/>
  <c r="A51" i="12" s="1"/>
  <c r="N33" i="4"/>
  <c r="D267" i="13"/>
  <c r="D62" i="13"/>
  <c r="B3" i="2" s="1"/>
  <c r="D150" i="13"/>
  <c r="C51" i="4" s="1"/>
  <c r="D154" i="13"/>
  <c r="C55" i="4" s="1"/>
  <c r="D10" i="13"/>
  <c r="B9" i="1" s="1"/>
  <c r="D195" i="13"/>
  <c r="B4" i="3" s="1"/>
  <c r="D251" i="13"/>
  <c r="C11" i="10" s="1"/>
  <c r="D8" i="13"/>
  <c r="B6" i="1" s="1"/>
  <c r="D294" i="13"/>
  <c r="B30" i="11" s="1"/>
  <c r="D3" i="13"/>
  <c r="D204" i="13"/>
  <c r="A2" i="10" s="1"/>
  <c r="D260" i="13"/>
  <c r="C20" i="10" s="1"/>
  <c r="D309" i="13"/>
  <c r="B23" i="3" s="1"/>
  <c r="D90" i="13"/>
  <c r="B3" i="4" s="1"/>
  <c r="D126" i="13"/>
  <c r="C27" i="4" s="1"/>
  <c r="D30" i="13"/>
  <c r="B18" i="1" s="1"/>
  <c r="D143" i="13"/>
  <c r="C44" i="4" s="1"/>
  <c r="D229" i="13"/>
  <c r="D315" i="13"/>
  <c r="B33" i="3" s="1"/>
  <c r="D26" i="13"/>
  <c r="D24" i="1" s="1"/>
  <c r="D190" i="13"/>
  <c r="C91" i="4" s="1"/>
  <c r="D270" i="13"/>
  <c r="B6" i="11" s="1"/>
  <c r="D66" i="13"/>
  <c r="B8" i="2" s="1"/>
  <c r="D306" i="13"/>
  <c r="B20" i="3" s="1"/>
  <c r="D35" i="13"/>
  <c r="B23" i="1" s="1"/>
  <c r="D182" i="13"/>
  <c r="C83" i="4" s="1"/>
  <c r="D244" i="13"/>
  <c r="C4" i="10" s="1"/>
  <c r="D106" i="13"/>
  <c r="J8" i="4" s="1"/>
  <c r="D295" i="13"/>
  <c r="B31" i="11" s="1"/>
  <c r="D59" i="13"/>
  <c r="B39" i="1" s="1"/>
  <c r="D271" i="13"/>
  <c r="B7" i="11" s="1"/>
  <c r="D79" i="13"/>
  <c r="B22" i="2" s="1"/>
  <c r="D253" i="13"/>
  <c r="C13" i="10" s="1"/>
  <c r="D276" i="13"/>
  <c r="B12" i="11" s="1"/>
  <c r="D115" i="13"/>
  <c r="C16" i="4" s="1"/>
  <c r="N32" i="4"/>
  <c r="D553" i="13"/>
  <c r="A236" i="12" s="1"/>
  <c r="D521" i="13"/>
  <c r="A204" i="12" s="1"/>
  <c r="D489" i="13"/>
  <c r="A172" i="12" s="1"/>
  <c r="D457" i="13"/>
  <c r="A140" i="12" s="1"/>
  <c r="D449" i="13"/>
  <c r="A132" i="12" s="1"/>
  <c r="D417" i="13"/>
  <c r="A100" i="12" s="1"/>
  <c r="D385" i="13"/>
  <c r="A68" i="12" s="1"/>
  <c r="D353" i="13"/>
  <c r="A36" i="12" s="1"/>
  <c r="D548" i="13"/>
  <c r="A231" i="12" s="1"/>
  <c r="D516" i="13"/>
  <c r="A199" i="12" s="1"/>
  <c r="D484" i="13"/>
  <c r="A167" i="12" s="1"/>
  <c r="D452" i="13"/>
  <c r="A135" i="12" s="1"/>
  <c r="D448" i="13"/>
  <c r="A131" i="12" s="1"/>
  <c r="D416" i="13"/>
  <c r="A99" i="12" s="1"/>
  <c r="D384" i="13"/>
  <c r="A67" i="12" s="1"/>
  <c r="D203" i="13"/>
  <c r="B30" i="3" s="1"/>
  <c r="D342" i="13"/>
  <c r="A25" i="12" s="1"/>
  <c r="D346" i="13"/>
  <c r="A29" i="12" s="1"/>
  <c r="D350" i="13"/>
  <c r="A33" i="12" s="1"/>
  <c r="D354" i="13"/>
  <c r="A37" i="12" s="1"/>
  <c r="D358" i="13"/>
  <c r="A41" i="12" s="1"/>
  <c r="D362" i="13"/>
  <c r="A45" i="12" s="1"/>
  <c r="D366" i="13"/>
  <c r="A49" i="12" s="1"/>
  <c r="D370" i="13"/>
  <c r="A53" i="12" s="1"/>
  <c r="D374" i="13"/>
  <c r="A57" i="12" s="1"/>
  <c r="D378" i="13"/>
  <c r="A61" i="12" s="1"/>
  <c r="D382" i="13"/>
  <c r="A65" i="12" s="1"/>
  <c r="D386" i="13"/>
  <c r="A69" i="12" s="1"/>
  <c r="D390" i="13"/>
  <c r="A73" i="12" s="1"/>
  <c r="D394" i="13"/>
  <c r="A77" i="12" s="1"/>
  <c r="D398" i="13"/>
  <c r="A81" i="12" s="1"/>
  <c r="D402" i="13"/>
  <c r="A85" i="12" s="1"/>
  <c r="D406" i="13"/>
  <c r="A89" i="12" s="1"/>
  <c r="D410" i="13"/>
  <c r="A93" i="12" s="1"/>
  <c r="D414" i="13"/>
  <c r="A97" i="12" s="1"/>
  <c r="D418" i="13"/>
  <c r="A101" i="12" s="1"/>
  <c r="D422" i="13"/>
  <c r="A105" i="12" s="1"/>
  <c r="D426" i="13"/>
  <c r="A109" i="12" s="1"/>
  <c r="D430" i="13"/>
  <c r="A113" i="12" s="1"/>
  <c r="D434" i="13"/>
  <c r="A117" i="12" s="1"/>
  <c r="D438" i="13"/>
  <c r="A121" i="12" s="1"/>
  <c r="D442" i="13"/>
  <c r="A125" i="12" s="1"/>
  <c r="D446" i="13"/>
  <c r="A129" i="12" s="1"/>
  <c r="D450" i="13"/>
  <c r="A133" i="12" s="1"/>
  <c r="D454" i="13"/>
  <c r="A137" i="12" s="1"/>
  <c r="D458" i="13"/>
  <c r="A141" i="12" s="1"/>
  <c r="D462" i="13"/>
  <c r="A145" i="12" s="1"/>
  <c r="D466" i="13"/>
  <c r="A149" i="12" s="1"/>
  <c r="D470" i="13"/>
  <c r="A153" i="12" s="1"/>
  <c r="D474" i="13"/>
  <c r="A157" i="12" s="1"/>
  <c r="D478" i="13"/>
  <c r="A161" i="12" s="1"/>
  <c r="D482" i="13"/>
  <c r="A165" i="12" s="1"/>
  <c r="D486" i="13"/>
  <c r="A169" i="12" s="1"/>
  <c r="D490" i="13"/>
  <c r="A173" i="12" s="1"/>
  <c r="D494" i="13"/>
  <c r="A177" i="12" s="1"/>
  <c r="D498" i="13"/>
  <c r="A181" i="12" s="1"/>
  <c r="D502" i="13"/>
  <c r="A185" i="12" s="1"/>
  <c r="D506" i="13"/>
  <c r="A189" i="12" s="1"/>
  <c r="D510" i="13"/>
  <c r="A193" i="12" s="1"/>
  <c r="D514" i="13"/>
  <c r="A197" i="12" s="1"/>
  <c r="D518" i="13"/>
  <c r="A201" i="12" s="1"/>
  <c r="D522" i="13"/>
  <c r="A205" i="12" s="1"/>
  <c r="D526" i="13"/>
  <c r="A209" i="12" s="1"/>
  <c r="D530" i="13"/>
  <c r="A213" i="12" s="1"/>
  <c r="D534" i="13"/>
  <c r="A217" i="12" s="1"/>
  <c r="D538" i="13"/>
  <c r="A221" i="12" s="1"/>
  <c r="D542" i="13"/>
  <c r="A225" i="12" s="1"/>
  <c r="D546" i="13"/>
  <c r="A229" i="12" s="1"/>
  <c r="D550" i="13"/>
  <c r="A233" i="12" s="1"/>
  <c r="D554" i="13"/>
  <c r="A237" i="12" s="1"/>
  <c r="D558" i="13"/>
  <c r="A241" i="12" s="1"/>
  <c r="D99" i="13"/>
  <c r="D104" i="4" s="1"/>
  <c r="E61" i="4" s="1"/>
  <c r="D310" i="13"/>
  <c r="B26" i="3" s="1"/>
  <c r="D133" i="13"/>
  <c r="C34" i="4" s="1"/>
  <c r="D159" i="13"/>
  <c r="B159" i="13" s="1"/>
  <c r="C14" i="6" s="1"/>
  <c r="D278" i="13"/>
  <c r="B14" i="11" s="1"/>
  <c r="D230" i="13"/>
  <c r="D78" i="13"/>
  <c r="D63" i="13"/>
  <c r="B4" i="2" s="1"/>
  <c r="D288" i="13"/>
  <c r="B24" i="11" s="1"/>
  <c r="D243" i="13"/>
  <c r="B3" i="9" s="1"/>
  <c r="D166" i="13"/>
  <c r="C67" i="4" s="1"/>
  <c r="D98" i="13"/>
  <c r="D103" i="4" s="1"/>
  <c r="D32" i="13"/>
  <c r="B20" i="1" s="1"/>
  <c r="D123" i="13"/>
  <c r="D22" i="13"/>
  <c r="D20" i="1" s="1"/>
  <c r="D304" i="13"/>
  <c r="B18" i="3" s="1"/>
  <c r="D262" i="13"/>
  <c r="C22" i="10" s="1"/>
  <c r="D163" i="13"/>
  <c r="D122" i="13"/>
  <c r="B10" i="6" s="1"/>
  <c r="D91" i="13"/>
  <c r="D561" i="13"/>
  <c r="D46" i="13"/>
  <c r="B19" i="6" s="1"/>
  <c r="D95" i="13"/>
  <c r="D311" i="13"/>
  <c r="B27" i="3" s="1"/>
  <c r="D264" i="13"/>
  <c r="C24" i="10" s="1"/>
  <c r="D210" i="13"/>
  <c r="D149" i="13"/>
  <c r="C50" i="4" s="1"/>
  <c r="D339" i="13"/>
  <c r="A22" i="12" s="1"/>
  <c r="D343" i="13"/>
  <c r="A26" i="12" s="1"/>
  <c r="D347" i="13"/>
  <c r="A30" i="12" s="1"/>
  <c r="D351" i="13"/>
  <c r="A34" i="12" s="1"/>
  <c r="D355" i="13"/>
  <c r="A38" i="12" s="1"/>
  <c r="D359" i="13"/>
  <c r="A42" i="12" s="1"/>
  <c r="D363" i="13"/>
  <c r="A46" i="12" s="1"/>
  <c r="D367" i="13"/>
  <c r="A50" i="12" s="1"/>
  <c r="D371" i="13"/>
  <c r="A54" i="12" s="1"/>
  <c r="D375" i="13"/>
  <c r="A58" i="12" s="1"/>
  <c r="D379" i="13"/>
  <c r="A62" i="12" s="1"/>
  <c r="D383" i="13"/>
  <c r="A66" i="12" s="1"/>
  <c r="D387" i="13"/>
  <c r="A70" i="12" s="1"/>
  <c r="D391" i="13"/>
  <c r="A74" i="12" s="1"/>
  <c r="D395" i="13"/>
  <c r="A78" i="12" s="1"/>
  <c r="D399" i="13"/>
  <c r="A82" i="12" s="1"/>
  <c r="D403" i="13"/>
  <c r="A86" i="12" s="1"/>
  <c r="D407" i="13"/>
  <c r="A90" i="12" s="1"/>
  <c r="D411" i="13"/>
  <c r="A94" i="12" s="1"/>
  <c r="D415" i="13"/>
  <c r="A98" i="12" s="1"/>
  <c r="D419" i="13"/>
  <c r="A102" i="12" s="1"/>
  <c r="D423" i="13"/>
  <c r="A106" i="12" s="1"/>
  <c r="D427" i="13"/>
  <c r="A110" i="12" s="1"/>
  <c r="D431" i="13"/>
  <c r="A114" i="12" s="1"/>
  <c r="D435" i="13"/>
  <c r="A118" i="12" s="1"/>
  <c r="D439" i="13"/>
  <c r="A122" i="12" s="1"/>
  <c r="D443" i="13"/>
  <c r="A126" i="12" s="1"/>
  <c r="D447" i="13"/>
  <c r="A130" i="12" s="1"/>
  <c r="D451" i="13"/>
  <c r="A134" i="12" s="1"/>
  <c r="D455" i="13"/>
  <c r="A138" i="12" s="1"/>
  <c r="D459" i="13"/>
  <c r="A142" i="12" s="1"/>
  <c r="D463" i="13"/>
  <c r="A146" i="12" s="1"/>
  <c r="D467" i="13"/>
  <c r="A150" i="12" s="1"/>
  <c r="D471" i="13"/>
  <c r="A154" i="12" s="1"/>
  <c r="D475" i="13"/>
  <c r="A158" i="12" s="1"/>
  <c r="D479" i="13"/>
  <c r="A162" i="12" s="1"/>
  <c r="D483" i="13"/>
  <c r="A166" i="12" s="1"/>
  <c r="D487" i="13"/>
  <c r="A170" i="12" s="1"/>
  <c r="D491" i="13"/>
  <c r="A174" i="12" s="1"/>
  <c r="D495" i="13"/>
  <c r="A178" i="12" s="1"/>
  <c r="D499" i="13"/>
  <c r="A182" i="12" s="1"/>
  <c r="D503" i="13"/>
  <c r="A186" i="12" s="1"/>
  <c r="D507" i="13"/>
  <c r="A190" i="12" s="1"/>
  <c r="D511" i="13"/>
  <c r="A194" i="12" s="1"/>
  <c r="D515" i="13"/>
  <c r="A198" i="12" s="1"/>
  <c r="D519" i="13"/>
  <c r="A202" i="12" s="1"/>
  <c r="D523" i="13"/>
  <c r="A206" i="12" s="1"/>
  <c r="D527" i="13"/>
  <c r="A210" i="12" s="1"/>
  <c r="D531" i="13"/>
  <c r="A214" i="12" s="1"/>
  <c r="D535" i="13"/>
  <c r="A218" i="12" s="1"/>
  <c r="D539" i="13"/>
  <c r="A222" i="12" s="1"/>
  <c r="D543" i="13"/>
  <c r="A226" i="12" s="1"/>
  <c r="D547" i="13"/>
  <c r="A230" i="12" s="1"/>
  <c r="D551" i="13"/>
  <c r="A234" i="12" s="1"/>
  <c r="D555" i="13"/>
  <c r="A238" i="12" s="1"/>
  <c r="D559" i="13"/>
  <c r="A242" i="12" s="1"/>
  <c r="D340" i="13"/>
  <c r="A23" i="12" s="1"/>
  <c r="D348" i="13"/>
  <c r="A31" i="12" s="1"/>
  <c r="D356" i="13"/>
  <c r="A39" i="12" s="1"/>
  <c r="D364" i="13"/>
  <c r="A47" i="12" s="1"/>
  <c r="D372" i="13"/>
  <c r="A55" i="12" s="1"/>
  <c r="D380" i="13"/>
  <c r="A63" i="12" s="1"/>
  <c r="D388" i="13"/>
  <c r="A71" i="12" s="1"/>
  <c r="D396" i="13"/>
  <c r="A79" i="12" s="1"/>
  <c r="D404" i="13"/>
  <c r="A87" i="12" s="1"/>
  <c r="D412" i="13"/>
  <c r="A95" i="12" s="1"/>
  <c r="D420" i="13"/>
  <c r="A103" i="12" s="1"/>
  <c r="D428" i="13"/>
  <c r="A111" i="12" s="1"/>
  <c r="D436" i="13"/>
  <c r="A119" i="12" s="1"/>
  <c r="D444" i="13"/>
  <c r="A127" i="12" s="1"/>
  <c r="D453" i="13"/>
  <c r="A136" i="12" s="1"/>
  <c r="D461" i="13"/>
  <c r="A144" i="12" s="1"/>
  <c r="D469" i="13"/>
  <c r="A152" i="12" s="1"/>
  <c r="D477" i="13"/>
  <c r="A160" i="12" s="1"/>
  <c r="D485" i="13"/>
  <c r="A168" i="12" s="1"/>
  <c r="D493" i="13"/>
  <c r="A176" i="12" s="1"/>
  <c r="D501" i="13"/>
  <c r="A184" i="12" s="1"/>
  <c r="D509" i="13"/>
  <c r="A192" i="12" s="1"/>
  <c r="D517" i="13"/>
  <c r="A200" i="12" s="1"/>
  <c r="D525" i="13"/>
  <c r="A208" i="12" s="1"/>
  <c r="D533" i="13"/>
  <c r="A216" i="12" s="1"/>
  <c r="D541" i="13"/>
  <c r="A224" i="12" s="1"/>
  <c r="D549" i="13"/>
  <c r="A232" i="12" s="1"/>
  <c r="D557" i="13"/>
  <c r="A240" i="12" s="1"/>
  <c r="D323" i="13"/>
  <c r="B46" i="3" s="1"/>
  <c r="D50" i="13"/>
  <c r="D111" i="13"/>
  <c r="C12" i="4" s="1"/>
  <c r="D300" i="13"/>
  <c r="C9" i="3" s="1"/>
  <c r="D21" i="13"/>
  <c r="D19" i="1" s="1"/>
  <c r="D280" i="13"/>
  <c r="B16" i="11" s="1"/>
  <c r="D208" i="13"/>
  <c r="A4" i="10" s="1"/>
  <c r="D103" i="13"/>
  <c r="D14" i="13"/>
  <c r="D12" i="1" s="1"/>
  <c r="D13" i="13"/>
  <c r="D11" i="1" s="1"/>
  <c r="D312" i="13"/>
  <c r="B28" i="3" s="1"/>
  <c r="D216" i="13"/>
  <c r="C7" i="6" s="1"/>
  <c r="D132" i="13"/>
  <c r="C33" i="4" s="1"/>
  <c r="D97" i="13"/>
  <c r="D102" i="4" s="1"/>
  <c r="D76" i="13"/>
  <c r="B18" i="2" s="1"/>
  <c r="D19" i="13"/>
  <c r="D18" i="1" s="1"/>
  <c r="D319" i="13"/>
  <c r="B39" i="3" s="1"/>
  <c r="D255" i="13"/>
  <c r="C15" i="10" s="1"/>
  <c r="D168" i="13"/>
  <c r="C69" i="4" s="1"/>
  <c r="D96" i="13"/>
  <c r="D8" i="4" s="1"/>
  <c r="D41" i="13"/>
  <c r="B28" i="1" s="1"/>
  <c r="D93" i="13"/>
  <c r="B8" i="4" s="1"/>
  <c r="D139" i="13"/>
  <c r="C40" i="4" s="1"/>
  <c r="D336" i="13"/>
  <c r="D199" i="13"/>
  <c r="D155" i="13"/>
  <c r="C56" i="4" s="1"/>
  <c r="D70" i="13"/>
  <c r="D25" i="13"/>
  <c r="D23" i="1" s="1"/>
  <c r="D329" i="13"/>
  <c r="D130" i="13"/>
  <c r="D246" i="13"/>
  <c r="C6" i="10" s="1"/>
  <c r="D165" i="13"/>
  <c r="C66" i="4" s="1"/>
  <c r="D82" i="13"/>
  <c r="D48" i="13"/>
  <c r="D4" i="13"/>
  <c r="B2" i="1" s="1"/>
  <c r="D297" i="13"/>
  <c r="B7" i="3" s="1"/>
  <c r="D125" i="13"/>
  <c r="C26" i="4" s="1"/>
  <c r="D256" i="13"/>
  <c r="C16" i="10" s="1"/>
  <c r="D172" i="13"/>
  <c r="C73" i="4" s="1"/>
  <c r="D100" i="13"/>
  <c r="D105" i="4" s="1"/>
  <c r="D44" i="13"/>
  <c r="D6" i="13"/>
  <c r="B3" i="1" s="1"/>
  <c r="D217" i="13"/>
  <c r="G7" i="6" s="1"/>
  <c r="D307" i="13"/>
  <c r="B21" i="3" s="1"/>
  <c r="D241" i="13"/>
  <c r="B3" i="7" s="1"/>
  <c r="D225" i="13"/>
  <c r="D181" i="13"/>
  <c r="C82" i="4" s="1"/>
  <c r="D134" i="13"/>
  <c r="D28" i="13"/>
  <c r="B10" i="1" s="1"/>
  <c r="D104" i="13"/>
  <c r="H8" i="4" s="1"/>
  <c r="D156" i="13"/>
  <c r="C57" i="4" s="1"/>
  <c r="D318" i="13"/>
  <c r="B38" i="3" s="1"/>
  <c r="D160" i="13"/>
  <c r="C61" i="4" s="1"/>
  <c r="D332" i="13"/>
  <c r="D299" i="13"/>
  <c r="B9" i="3" s="1"/>
  <c r="D275" i="13"/>
  <c r="B11" i="11" s="1"/>
  <c r="D249" i="13"/>
  <c r="C9" i="10" s="1"/>
  <c r="D228" i="13"/>
  <c r="B38" i="9" s="1"/>
  <c r="D176" i="13"/>
  <c r="D18" i="13"/>
  <c r="D16" i="1" s="1"/>
  <c r="D54" i="13"/>
  <c r="B34" i="1" s="1"/>
  <c r="D254" i="13"/>
  <c r="C14" i="10" s="1"/>
  <c r="D135" i="13"/>
  <c r="C36" i="4" s="1"/>
  <c r="D328" i="13"/>
  <c r="D293" i="13"/>
  <c r="B29" i="11" s="1"/>
  <c r="D235" i="13"/>
  <c r="D220" i="13"/>
  <c r="D131" i="13"/>
  <c r="C32" i="4" s="1"/>
  <c r="D45" i="13"/>
  <c r="D17" i="1" s="1"/>
  <c r="D39" i="13"/>
  <c r="D187" i="13"/>
  <c r="C88" i="4" s="1"/>
  <c r="D183" i="13"/>
  <c r="C84" i="4" s="1"/>
  <c r="D234" i="13"/>
  <c r="D177" i="13"/>
  <c r="C78" i="4" s="1"/>
  <c r="D178" i="13"/>
  <c r="C79" i="4" s="1"/>
  <c r="D238" i="13"/>
  <c r="D209" i="13"/>
  <c r="D337" i="13"/>
  <c r="D67" i="13"/>
  <c r="B9" i="2" s="1"/>
  <c r="D145" i="13"/>
  <c r="C46" i="4" s="1"/>
  <c r="D327" i="13"/>
  <c r="D272" i="13"/>
  <c r="B8" i="11" s="1"/>
  <c r="D193" i="13"/>
  <c r="D75" i="13"/>
  <c r="B16" i="2" s="1"/>
  <c r="D287" i="13"/>
  <c r="B23" i="11" s="1"/>
  <c r="D128" i="13"/>
  <c r="C29" i="4" s="1"/>
  <c r="D206" i="13"/>
  <c r="B7" i="6" s="1"/>
  <c r="D64" i="13"/>
  <c r="B6" i="2" s="1"/>
  <c r="D245" i="13"/>
  <c r="C5" i="10" s="1"/>
  <c r="D89" i="13"/>
  <c r="D24" i="13"/>
  <c r="D22" i="1" s="1"/>
  <c r="D109" i="13"/>
  <c r="B109" i="13" s="1"/>
  <c r="C8" i="6" s="1"/>
  <c r="D188" i="13"/>
  <c r="C89" i="4" s="1"/>
  <c r="D57" i="13"/>
  <c r="B37" i="1" s="1"/>
  <c r="D153" i="13"/>
  <c r="D194" i="13"/>
  <c r="B3" i="3" s="1"/>
  <c r="D124" i="13"/>
  <c r="C25" i="4" s="1"/>
  <c r="D27" i="13"/>
  <c r="D25" i="1" s="1"/>
  <c r="D77" i="13"/>
  <c r="D51" i="13"/>
  <c r="D151" i="13"/>
  <c r="C52" i="4" s="1"/>
  <c r="D72" i="13"/>
  <c r="D1" i="13"/>
  <c r="D333" i="13"/>
  <c r="D341" i="13"/>
  <c r="A24" i="12" s="1"/>
  <c r="D349" i="13"/>
  <c r="A32" i="12" s="1"/>
  <c r="D357" i="13"/>
  <c r="A40" i="12" s="1"/>
  <c r="D365" i="13"/>
  <c r="A48" i="12" s="1"/>
  <c r="D373" i="13"/>
  <c r="A56" i="12" s="1"/>
  <c r="D381" i="13"/>
  <c r="A64" i="12" s="1"/>
  <c r="D389" i="13"/>
  <c r="A72" i="12" s="1"/>
  <c r="D397" i="13"/>
  <c r="A80" i="12" s="1"/>
  <c r="D405" i="13"/>
  <c r="A88" i="12" s="1"/>
  <c r="D413" i="13"/>
  <c r="A96" i="12" s="1"/>
  <c r="D421" i="13"/>
  <c r="A104" i="12" s="1"/>
  <c r="D429" i="13"/>
  <c r="A112" i="12" s="1"/>
  <c r="D437" i="13"/>
  <c r="A120" i="12" s="1"/>
  <c r="D445" i="13"/>
  <c r="A128" i="12" s="1"/>
  <c r="D456" i="13"/>
  <c r="A139" i="12" s="1"/>
  <c r="D464" i="13"/>
  <c r="A147" i="12" s="1"/>
  <c r="D472" i="13"/>
  <c r="A155" i="12" s="1"/>
  <c r="D480" i="13"/>
  <c r="A163" i="12" s="1"/>
  <c r="D488" i="13"/>
  <c r="A171" i="12" s="1"/>
  <c r="D496" i="13"/>
  <c r="A179" i="12" s="1"/>
  <c r="D504" i="13"/>
  <c r="A187" i="12" s="1"/>
  <c r="D512" i="13"/>
  <c r="A195" i="12" s="1"/>
  <c r="D520" i="13"/>
  <c r="A203" i="12" s="1"/>
  <c r="D528" i="13"/>
  <c r="A211" i="12" s="1"/>
  <c r="D536" i="13"/>
  <c r="A219" i="12" s="1"/>
  <c r="D544" i="13"/>
  <c r="A227" i="12" s="1"/>
  <c r="D552" i="13"/>
  <c r="A235" i="12" s="1"/>
  <c r="D560" i="13"/>
  <c r="A243" i="12" s="1"/>
  <c r="D138" i="13"/>
  <c r="C39" i="4" s="1"/>
  <c r="D248" i="13"/>
  <c r="C8" i="10" s="1"/>
  <c r="D321" i="13"/>
  <c r="C40" i="3" s="1"/>
  <c r="D83" i="13"/>
  <c r="B12" i="2" s="1"/>
  <c r="D147" i="13"/>
  <c r="C48" i="4" s="1"/>
  <c r="D211" i="13"/>
  <c r="D81" i="13"/>
  <c r="D303" i="13"/>
  <c r="B15" i="3" s="1"/>
  <c r="D161" i="13"/>
  <c r="C62" i="4" s="1"/>
  <c r="D281" i="13"/>
  <c r="B17" i="11" s="1"/>
  <c r="D314" i="13"/>
  <c r="D29" i="3" s="1"/>
  <c r="D117" i="13"/>
  <c r="C18" i="4" s="1"/>
  <c r="D15" i="13"/>
  <c r="D13" i="1" s="1"/>
  <c r="D331" i="13"/>
  <c r="D69" i="13"/>
  <c r="D263" i="13"/>
  <c r="C23" i="10" s="1"/>
  <c r="D218" i="13"/>
  <c r="K7" i="6" s="1"/>
  <c r="D34" i="13"/>
  <c r="B22" i="1" s="1"/>
  <c r="D292" i="13"/>
  <c r="B28" i="11" s="1"/>
  <c r="D344" i="13"/>
  <c r="A27" i="12" s="1"/>
  <c r="D360" i="13"/>
  <c r="A43" i="12" s="1"/>
  <c r="D376" i="13"/>
  <c r="A59" i="12" s="1"/>
  <c r="D392" i="13"/>
  <c r="A75" i="12" s="1"/>
  <c r="D408" i="13"/>
  <c r="A91" i="12" s="1"/>
  <c r="D424" i="13"/>
  <c r="A107" i="12" s="1"/>
  <c r="D440" i="13"/>
  <c r="A123" i="12" s="1"/>
  <c r="D460" i="13"/>
  <c r="A143" i="12" s="1"/>
  <c r="D476" i="13"/>
  <c r="A159" i="12" s="1"/>
  <c r="D492" i="13"/>
  <c r="A175" i="12" s="1"/>
  <c r="D508" i="13"/>
  <c r="A191" i="12" s="1"/>
  <c r="D524" i="13"/>
  <c r="A207" i="12" s="1"/>
  <c r="D540" i="13"/>
  <c r="A223" i="12" s="1"/>
  <c r="D556" i="13"/>
  <c r="A239" i="12" s="1"/>
  <c r="D345" i="13"/>
  <c r="A28" i="12" s="1"/>
  <c r="D361" i="13"/>
  <c r="A44" i="12" s="1"/>
  <c r="D377" i="13"/>
  <c r="A60" i="12" s="1"/>
  <c r="D393" i="13"/>
  <c r="A76" i="12" s="1"/>
  <c r="D409" i="13"/>
  <c r="A92" i="12" s="1"/>
  <c r="D425" i="13"/>
  <c r="A108" i="12" s="1"/>
  <c r="D441" i="13"/>
  <c r="A124" i="12" s="1"/>
  <c r="D465" i="13"/>
  <c r="A148" i="12" s="1"/>
  <c r="D481" i="13"/>
  <c r="A164" i="12" s="1"/>
  <c r="D497" i="13"/>
  <c r="A180" i="12" s="1"/>
  <c r="D513" i="13"/>
  <c r="A196" i="12" s="1"/>
  <c r="D529" i="13"/>
  <c r="A212" i="12" s="1"/>
  <c r="D545" i="13"/>
  <c r="A228" i="12" s="1"/>
  <c r="D192" i="13"/>
  <c r="C93" i="4" s="1"/>
  <c r="D175" i="13"/>
  <c r="D140" i="13"/>
  <c r="C41" i="4" s="1"/>
  <c r="D214" i="13"/>
  <c r="D47" i="13"/>
  <c r="D320" i="13"/>
  <c r="B40" i="3" s="1"/>
  <c r="D152" i="13"/>
  <c r="C53" i="4" s="1"/>
  <c r="D42" i="13"/>
  <c r="B30" i="1" s="1"/>
  <c r="D335" i="13"/>
  <c r="D207" i="13"/>
  <c r="A5" i="10" s="1"/>
  <c r="D55" i="13"/>
  <c r="B35" i="1" s="1"/>
  <c r="D198" i="13"/>
  <c r="D247" i="13"/>
  <c r="D86" i="13"/>
  <c r="D74" i="13"/>
  <c r="D265" i="13"/>
  <c r="C25" i="10" s="1"/>
  <c r="D101" i="13"/>
  <c r="D106" i="4" s="1"/>
  <c r="D7" i="13"/>
  <c r="B5" i="1" s="1"/>
  <c r="D158" i="13"/>
  <c r="B21" i="8" s="1"/>
  <c r="D179" i="13"/>
  <c r="C80" i="4" s="1"/>
  <c r="D60" i="13"/>
  <c r="B41" i="1" s="1"/>
  <c r="D146" i="13"/>
  <c r="C47" i="4" s="1"/>
  <c r="D250" i="13"/>
  <c r="C10" i="10" s="1"/>
  <c r="D221" i="13"/>
  <c r="D148" i="13"/>
  <c r="B148" i="13" s="1"/>
  <c r="K12" i="6" s="1"/>
  <c r="D61" i="13"/>
  <c r="B42" i="1" s="1"/>
  <c r="D114" i="13"/>
  <c r="C15" i="4" s="1"/>
  <c r="D164" i="13"/>
  <c r="C65" i="4" s="1"/>
  <c r="D298" i="13"/>
  <c r="B8" i="3" s="1"/>
  <c r="D325" i="13"/>
  <c r="D284" i="13"/>
  <c r="B20" i="11" s="1"/>
  <c r="D257" i="13"/>
  <c r="C17" i="10" s="1"/>
  <c r="D224" i="13"/>
  <c r="D87" i="13"/>
  <c r="D261" i="13"/>
  <c r="C21" i="10" s="1"/>
  <c r="D92" i="13"/>
  <c r="D43" i="13"/>
  <c r="B32" i="1" s="1"/>
  <c r="D301" i="13"/>
  <c r="D9" i="3" s="1"/>
  <c r="D231" i="13"/>
  <c r="D167" i="13"/>
  <c r="D73" i="13"/>
  <c r="B14" i="2" s="1"/>
  <c r="D105" i="13"/>
  <c r="I8" i="4" s="1"/>
  <c r="D173" i="13"/>
  <c r="C74" i="4" s="1"/>
  <c r="D219" i="13"/>
  <c r="O7" i="6" s="1"/>
  <c r="D40" i="13"/>
  <c r="B27" i="1" s="1"/>
  <c r="D36" i="13"/>
  <c r="B24" i="1" s="1"/>
  <c r="D33" i="13"/>
  <c r="B21" i="1" s="1"/>
  <c r="N91" i="4"/>
  <c r="N22" i="4"/>
  <c r="N70" i="4"/>
  <c r="N56" i="4"/>
  <c r="N45" i="4"/>
  <c r="N41" i="4"/>
  <c r="N57" i="4"/>
  <c r="N14" i="4"/>
  <c r="N79" i="4"/>
  <c r="N65" i="4"/>
  <c r="N88" i="4"/>
  <c r="N78" i="4"/>
  <c r="N62" i="4"/>
  <c r="B108" i="13"/>
  <c r="B6" i="3" s="1"/>
  <c r="B8" i="6"/>
  <c r="F85" i="4"/>
  <c r="N46" i="4"/>
  <c r="N40" i="4"/>
  <c r="N10" i="4"/>
  <c r="F16" i="4"/>
  <c r="N55" i="4"/>
  <c r="N51" i="4"/>
  <c r="N21" i="4"/>
  <c r="N47" i="4"/>
  <c r="N61" i="4"/>
  <c r="N52" i="4"/>
  <c r="N50" i="4"/>
  <c r="N27" i="4"/>
  <c r="N25" i="4"/>
  <c r="N26" i="4"/>
  <c r="C14" i="3"/>
  <c r="G17" i="5" s="1"/>
  <c r="K7" i="12" s="1"/>
  <c r="C12" i="3"/>
  <c r="G15" i="5" s="1"/>
  <c r="K5" i="12" s="1"/>
  <c r="F80" i="4"/>
  <c r="N87" i="4"/>
  <c r="N42" i="4"/>
  <c r="C11" i="3"/>
  <c r="G14" i="5" s="1"/>
  <c r="K4" i="12" s="1"/>
  <c r="N66" i="4"/>
  <c r="B119" i="13" l="1"/>
  <c r="O8" i="6" s="1"/>
  <c r="B143" i="13"/>
  <c r="G12" i="6" s="1"/>
  <c r="M39" i="4"/>
  <c r="N39" i="4" s="1"/>
  <c r="M28" i="5"/>
  <c r="D72" i="4"/>
  <c r="E72" i="4" s="1"/>
  <c r="D64" i="4"/>
  <c r="O72" i="4"/>
  <c r="L72" i="4" s="1"/>
  <c r="F64" i="4"/>
  <c r="O49" i="4"/>
  <c r="L49" i="4" s="1"/>
  <c r="D49" i="4"/>
  <c r="P22" i="5"/>
  <c r="N60" i="4"/>
  <c r="C23" i="4"/>
  <c r="M44" i="4"/>
  <c r="N44" i="4" s="1"/>
  <c r="N28" i="5"/>
  <c r="M64" i="4"/>
  <c r="N64" i="4" s="1"/>
  <c r="N35" i="5"/>
  <c r="N65" i="5" s="1"/>
  <c r="M77" i="4"/>
  <c r="N77" i="4" s="1"/>
  <c r="M41" i="5"/>
  <c r="M66" i="5" s="1"/>
  <c r="M13" i="4"/>
  <c r="N13" i="4" s="1"/>
  <c r="N14" i="5"/>
  <c r="P35" i="5"/>
  <c r="P65" i="5" s="1"/>
  <c r="F79" i="4"/>
  <c r="F87" i="4"/>
  <c r="B2" i="9"/>
  <c r="D81" i="4"/>
  <c r="E81" i="4" s="1"/>
  <c r="F81" i="4"/>
  <c r="O81" i="4"/>
  <c r="L81" i="4" s="1"/>
  <c r="O28" i="4"/>
  <c r="L28" i="4" s="1"/>
  <c r="D28" i="4"/>
  <c r="E28" i="4" s="1"/>
  <c r="F28" i="4"/>
  <c r="C49" i="4"/>
  <c r="B244" i="13"/>
  <c r="C10" i="4"/>
  <c r="B19" i="7"/>
  <c r="B122" i="13"/>
  <c r="B17" i="3" s="1"/>
  <c r="F53" i="4"/>
  <c r="F67" i="4"/>
  <c r="B18" i="7"/>
  <c r="B171" i="13"/>
  <c r="O14" i="6" s="1"/>
  <c r="B19" i="8"/>
  <c r="F63" i="4"/>
  <c r="F89" i="4"/>
  <c r="F19" i="4"/>
  <c r="F84" i="4"/>
  <c r="C17" i="4"/>
  <c r="B42" i="3"/>
  <c r="F36" i="5" s="1"/>
  <c r="H36" i="5" s="1"/>
  <c r="A35" i="11" s="1"/>
  <c r="I35" i="11" s="1"/>
  <c r="J35" i="11" s="1"/>
  <c r="E70" i="4"/>
  <c r="B127" i="13"/>
  <c r="G10" i="6" s="1"/>
  <c r="F12" i="4"/>
  <c r="F48" i="4"/>
  <c r="B18" i="8"/>
  <c r="F37" i="4"/>
  <c r="E21" i="4"/>
  <c r="E56" i="4"/>
  <c r="F30" i="4"/>
  <c r="F75" i="4"/>
  <c r="F58" i="4"/>
  <c r="C60" i="4"/>
  <c r="F93" i="4"/>
  <c r="E52" i="4"/>
  <c r="B189" i="13"/>
  <c r="O16" i="6" s="1"/>
  <c r="E82" i="4"/>
  <c r="E15" i="4"/>
  <c r="E45" i="4"/>
  <c r="E79" i="4"/>
  <c r="C10" i="3"/>
  <c r="G13" i="5" s="1"/>
  <c r="K3" i="12" s="1"/>
  <c r="E50" i="4"/>
  <c r="E49" i="4"/>
  <c r="E76" i="4"/>
  <c r="C38" i="4"/>
  <c r="B137" i="13"/>
  <c r="B25" i="3" s="1"/>
  <c r="B12" i="6"/>
  <c r="F43" i="4"/>
  <c r="F34" i="4"/>
  <c r="C13" i="4"/>
  <c r="B112" i="13"/>
  <c r="G8" i="6" s="1"/>
  <c r="B185" i="13"/>
  <c r="K16" i="6" s="1"/>
  <c r="C86" i="4"/>
  <c r="B2" i="3"/>
  <c r="B43" i="3"/>
  <c r="F37" i="5" s="1"/>
  <c r="H37" i="5" s="1"/>
  <c r="A36" i="11" s="1"/>
  <c r="I36" i="11" s="1"/>
  <c r="J36" i="11" s="1"/>
  <c r="E65" i="4"/>
  <c r="E51" i="4"/>
  <c r="E13" i="4"/>
  <c r="B2" i="7"/>
  <c r="E40" i="4"/>
  <c r="E32" i="4"/>
  <c r="E66" i="4"/>
  <c r="E27" i="4"/>
  <c r="E87" i="4"/>
  <c r="E10" i="4"/>
  <c r="E77" i="4"/>
  <c r="E88" i="4"/>
  <c r="E39" i="4"/>
  <c r="E69" i="4"/>
  <c r="E22" i="4"/>
  <c r="E25" i="4"/>
  <c r="E35" i="4"/>
  <c r="E26" i="4"/>
  <c r="E14" i="4"/>
  <c r="E33" i="4"/>
  <c r="E44" i="4"/>
  <c r="E91" i="4"/>
  <c r="B21" i="7"/>
  <c r="E62" i="4"/>
  <c r="E46" i="4"/>
  <c r="E92" i="4"/>
  <c r="E42" i="4"/>
  <c r="E74" i="4"/>
  <c r="E47" i="4"/>
  <c r="E57" i="4"/>
  <c r="E64" i="4"/>
  <c r="E55" i="4"/>
  <c r="E41" i="4"/>
  <c r="E60" i="4"/>
  <c r="E59" i="4"/>
  <c r="E73" i="4"/>
  <c r="E83" i="4"/>
  <c r="E78" i="4"/>
  <c r="C59" i="4"/>
  <c r="B20" i="2"/>
  <c r="B5" i="6"/>
  <c r="E13" i="12"/>
  <c r="F13" i="12" s="1"/>
  <c r="B2" i="2"/>
  <c r="C81" i="4"/>
  <c r="B180" i="13"/>
  <c r="G16" i="6" s="1"/>
  <c r="B5" i="4"/>
  <c r="B134" i="13"/>
  <c r="O10" i="6" s="1"/>
  <c r="C35" i="4"/>
  <c r="B19" i="2"/>
  <c r="B15" i="2"/>
  <c r="F66" i="4"/>
  <c r="F46" i="4"/>
  <c r="F74" i="4"/>
  <c r="F83" i="4"/>
  <c r="F73" i="4"/>
  <c r="F92" i="4"/>
  <c r="F57" i="4"/>
  <c r="F47" i="4"/>
  <c r="F62" i="4"/>
  <c r="F11" i="4"/>
  <c r="F61" i="4"/>
  <c r="F25" i="4"/>
  <c r="F55" i="4"/>
  <c r="F21" i="4"/>
  <c r="F36" i="4"/>
  <c r="F78" i="4"/>
  <c r="F29" i="4"/>
  <c r="F27" i="4"/>
  <c r="F88" i="4"/>
  <c r="F51" i="4"/>
  <c r="F41" i="4"/>
  <c r="F32" i="4"/>
  <c r="F82" i="4"/>
  <c r="F45" i="4"/>
  <c r="F50" i="4"/>
  <c r="F14" i="4"/>
  <c r="F40" i="4"/>
  <c r="F22" i="4"/>
  <c r="F56" i="4"/>
  <c r="F69" i="4"/>
  <c r="F18" i="4"/>
  <c r="F26" i="4"/>
  <c r="F42" i="4"/>
  <c r="F15" i="4"/>
  <c r="F70" i="4"/>
  <c r="F33" i="4"/>
  <c r="F52" i="4"/>
  <c r="A1" i="10"/>
  <c r="B2" i="4"/>
  <c r="B20" i="7"/>
  <c r="C54" i="4"/>
  <c r="B153" i="13"/>
  <c r="O12" i="6" s="1"/>
  <c r="B176" i="13"/>
  <c r="C16" i="6" s="1"/>
  <c r="C77" i="4"/>
  <c r="C64" i="4"/>
  <c r="B163" i="13"/>
  <c r="G14" i="6" s="1"/>
  <c r="B123" i="13"/>
  <c r="C10" i="6" s="1"/>
  <c r="C24" i="4"/>
  <c r="B2" i="8"/>
  <c r="B175" i="13"/>
  <c r="B45" i="3" s="1"/>
  <c r="B16" i="6"/>
  <c r="C76" i="4"/>
  <c r="B22" i="8"/>
  <c r="F91" i="4"/>
  <c r="B158" i="13"/>
  <c r="B36" i="3" s="1"/>
  <c r="B2" i="6"/>
  <c r="F65" i="4"/>
  <c r="B138" i="13"/>
  <c r="C12" i="6" s="1"/>
  <c r="B14" i="6"/>
  <c r="C68" i="4"/>
  <c r="B167" i="13"/>
  <c r="K14" i="6" s="1"/>
  <c r="F4" i="4"/>
  <c r="I4" i="6"/>
  <c r="B95" i="4"/>
  <c r="B17" i="9"/>
  <c r="B17" i="8"/>
  <c r="B17" i="7"/>
  <c r="P11" i="6"/>
  <c r="D38" i="9"/>
  <c r="D30" i="9"/>
  <c r="D35" i="9"/>
  <c r="D32" i="9"/>
  <c r="H11" i="6"/>
  <c r="P9" i="6"/>
  <c r="D15" i="6"/>
  <c r="D34" i="9"/>
  <c r="L15" i="6"/>
  <c r="D29" i="9"/>
  <c r="D20" i="8"/>
  <c r="P17" i="6"/>
  <c r="H15" i="6"/>
  <c r="D22" i="7"/>
  <c r="P15" i="6"/>
  <c r="D11" i="6"/>
  <c r="D19" i="9"/>
  <c r="D33" i="9"/>
  <c r="D23" i="9"/>
  <c r="D19" i="8"/>
  <c r="D21" i="8"/>
  <c r="D28" i="9"/>
  <c r="D19" i="7"/>
  <c r="D13" i="6"/>
  <c r="P13" i="6"/>
  <c r="D20" i="7"/>
  <c r="L11" i="6"/>
  <c r="D24" i="9"/>
  <c r="D18" i="8"/>
  <c r="D17" i="6"/>
  <c r="D27" i="9"/>
  <c r="D20" i="9"/>
  <c r="D21" i="7"/>
  <c r="H17" i="6"/>
  <c r="H13" i="6"/>
  <c r="D23" i="8"/>
  <c r="D22" i="9"/>
  <c r="H9" i="6"/>
  <c r="D36" i="9"/>
  <c r="D37" i="9"/>
  <c r="D26" i="9"/>
  <c r="D31" i="9"/>
  <c r="D9" i="6"/>
  <c r="D18" i="7"/>
  <c r="L13" i="6"/>
  <c r="D25" i="9"/>
  <c r="D21" i="9"/>
  <c r="D22" i="8"/>
  <c r="L9" i="6"/>
  <c r="L17" i="6"/>
  <c r="D18" i="9"/>
  <c r="B23" i="8"/>
  <c r="B22" i="7"/>
  <c r="B130" i="13"/>
  <c r="K10" i="6" s="1"/>
  <c r="C31" i="4"/>
  <c r="B41" i="3"/>
  <c r="F35" i="5" s="1"/>
  <c r="H35" i="5" s="1"/>
  <c r="D13" i="3"/>
  <c r="H16" i="5" s="1"/>
  <c r="D6" i="12" s="1"/>
  <c r="I6" i="12" s="1"/>
  <c r="B32" i="3"/>
  <c r="D12" i="3"/>
  <c r="H15" i="5" s="1"/>
  <c r="D5" i="12" s="1"/>
  <c r="I5" i="12" s="1"/>
  <c r="B10" i="3"/>
  <c r="F13" i="5" s="1"/>
  <c r="E13" i="5" s="1"/>
  <c r="J3" i="12" s="1"/>
  <c r="D14" i="3"/>
  <c r="H17" i="5" s="1"/>
  <c r="D7" i="12" s="1"/>
  <c r="I7" i="12" s="1"/>
  <c r="D15" i="3"/>
  <c r="H18" i="5" s="1"/>
  <c r="D8" i="12" s="1"/>
  <c r="I8" i="12" s="1"/>
  <c r="B12" i="3"/>
  <c r="F15" i="5" s="1"/>
  <c r="E15" i="5" s="1"/>
  <c r="J5" i="12" s="1"/>
  <c r="B31" i="3"/>
  <c r="D11" i="3"/>
  <c r="H14" i="5" s="1"/>
  <c r="D4" i="12" s="1"/>
  <c r="I4" i="12" s="1"/>
  <c r="D10" i="3"/>
  <c r="H13" i="5" s="1"/>
  <c r="D3" i="12" s="1"/>
  <c r="I3" i="12" s="1"/>
  <c r="B14" i="3"/>
  <c r="F17" i="5" s="1"/>
  <c r="E17" i="5" s="1"/>
  <c r="J7" i="12" s="1"/>
  <c r="B13" i="3"/>
  <c r="F16" i="5" s="1"/>
  <c r="E16" i="5" s="1"/>
  <c r="J6" i="12" s="1"/>
  <c r="B11" i="3"/>
  <c r="F14" i="5" s="1"/>
  <c r="E14" i="5" s="1"/>
  <c r="J4" i="12" s="1"/>
  <c r="D10" i="12"/>
  <c r="H27" i="5"/>
  <c r="M72" i="4" l="1"/>
  <c r="N72" i="4" s="1"/>
  <c r="M49" i="4"/>
  <c r="N49" i="4" s="1"/>
  <c r="O28" i="5"/>
  <c r="M28" i="4"/>
  <c r="N28" i="4" s="1"/>
  <c r="N22" i="5"/>
  <c r="N41" i="5"/>
  <c r="N66" i="5" s="1"/>
  <c r="M81" i="4"/>
  <c r="N81" i="4" s="1"/>
  <c r="K35" i="11"/>
  <c r="L35" i="11" s="1"/>
  <c r="K36" i="11"/>
  <c r="L36" i="11" s="1"/>
  <c r="E4" i="12"/>
  <c r="F4" i="12" s="1"/>
  <c r="L6" i="12"/>
  <c r="M6" i="12" s="1"/>
  <c r="O6" i="12"/>
  <c r="P6" i="12" s="1"/>
  <c r="D11" i="12"/>
  <c r="H28" i="5"/>
  <c r="L4" i="12"/>
  <c r="M4" i="12" s="1"/>
  <c r="O4" i="12"/>
  <c r="P4" i="12" s="1"/>
  <c r="E7" i="12"/>
  <c r="F7" i="12" s="1"/>
  <c r="A34" i="11"/>
  <c r="L7" i="12"/>
  <c r="M7" i="12" s="1"/>
  <c r="O7" i="12"/>
  <c r="P7" i="12" s="1"/>
  <c r="O5" i="12"/>
  <c r="P5" i="12" s="1"/>
  <c r="L5" i="12"/>
  <c r="M5" i="12" s="1"/>
  <c r="E5" i="12"/>
  <c r="F5" i="12" s="1"/>
  <c r="E6" i="12"/>
  <c r="F6" i="12" s="1"/>
  <c r="L3" i="12"/>
  <c r="M3" i="12" s="1"/>
  <c r="O3" i="12"/>
  <c r="P3" i="12" s="1"/>
  <c r="E3" i="12"/>
  <c r="F3" i="12" s="1"/>
  <c r="E8" i="12"/>
  <c r="F8" i="12" s="1"/>
  <c r="D12" i="12"/>
  <c r="H29" i="5"/>
  <c r="I10" i="12"/>
  <c r="E10" i="12"/>
  <c r="F10" i="12" s="1"/>
  <c r="I34" i="11" l="1"/>
  <c r="J34" i="11" s="1"/>
  <c r="J38" i="11" s="1"/>
  <c r="J39" i="11" s="1"/>
  <c r="S37" i="5" s="1"/>
  <c r="K34" i="11"/>
  <c r="L34" i="11" s="1"/>
  <c r="L38" i="11" s="1"/>
  <c r="L39" i="11" s="1"/>
  <c r="S43" i="5" s="1"/>
  <c r="F24" i="4"/>
  <c r="D24" i="4"/>
  <c r="O24" i="4"/>
  <c r="L24" i="4" s="1"/>
  <c r="O31" i="4"/>
  <c r="L31" i="4" s="1"/>
  <c r="D31" i="4"/>
  <c r="F31" i="4"/>
  <c r="E12" i="12"/>
  <c r="F12" i="12" s="1"/>
  <c r="I12" i="12"/>
  <c r="G3" i="12"/>
  <c r="H6" i="12" s="1"/>
  <c r="D90" i="4"/>
  <c r="O90" i="4"/>
  <c r="L90" i="4" s="1"/>
  <c r="I11" i="12"/>
  <c r="E11" i="12"/>
  <c r="F11" i="12" s="1"/>
  <c r="G10" i="12" l="1"/>
  <c r="I14" i="12"/>
  <c r="O54" i="4" s="1"/>
  <c r="L54" i="4" s="1"/>
  <c r="H8" i="12"/>
  <c r="I51" i="5"/>
  <c r="J51" i="5" s="1"/>
  <c r="K51" i="5" s="1"/>
  <c r="I49" i="5"/>
  <c r="J49" i="5" s="1"/>
  <c r="K49" i="5" s="1"/>
  <c r="K10" i="5" s="1"/>
  <c r="I50" i="5"/>
  <c r="J50" i="5" s="1"/>
  <c r="K50" i="5" s="1"/>
  <c r="K19" i="5" s="1"/>
  <c r="M90" i="4"/>
  <c r="N90" i="4" s="1"/>
  <c r="E90" i="4"/>
  <c r="P41" i="5"/>
  <c r="P66" i="5" s="1"/>
  <c r="Q6" i="12"/>
  <c r="N6" i="12"/>
  <c r="H3" i="12"/>
  <c r="H4" i="12"/>
  <c r="H5" i="12"/>
  <c r="H7" i="12"/>
  <c r="M24" i="4"/>
  <c r="N24" i="4" s="1"/>
  <c r="E24" i="4"/>
  <c r="M22" i="5"/>
  <c r="M31" i="4"/>
  <c r="N31" i="4" s="1"/>
  <c r="E31" i="4"/>
  <c r="O22" i="5"/>
  <c r="L23" i="4" l="1"/>
  <c r="D23" i="4" s="1"/>
  <c r="N23" i="4" s="1"/>
  <c r="L9" i="4"/>
  <c r="D9" i="4" s="1"/>
  <c r="N9" i="4" s="1"/>
  <c r="D54" i="4"/>
  <c r="M54" i="4" s="1"/>
  <c r="N54" i="4" s="1"/>
  <c r="F54" i="4"/>
  <c r="D86" i="4"/>
  <c r="O86" i="4"/>
  <c r="L86" i="4" s="1"/>
  <c r="N3" i="12"/>
  <c r="N8" i="12" s="1"/>
  <c r="I9" i="12"/>
  <c r="H10" i="12"/>
  <c r="Q3" i="12"/>
  <c r="Q8" i="12" s="1"/>
  <c r="D68" i="4"/>
  <c r="O68" i="4"/>
  <c r="L68" i="4" s="1"/>
  <c r="F68" i="4"/>
  <c r="N5" i="12"/>
  <c r="Q5" i="12"/>
  <c r="L38" i="4"/>
  <c r="D38" i="4" s="1"/>
  <c r="K25" i="5"/>
  <c r="N4" i="12"/>
  <c r="Q4" i="12"/>
  <c r="Q7" i="12"/>
  <c r="N7" i="12"/>
  <c r="E23" i="4"/>
  <c r="R50" i="5"/>
  <c r="K63" i="5" s="1"/>
  <c r="R49" i="5" l="1"/>
  <c r="K62" i="5" s="1"/>
  <c r="N62" i="5" s="1"/>
  <c r="E9" i="4"/>
  <c r="P28" i="5"/>
  <c r="E54" i="4"/>
  <c r="E68" i="4"/>
  <c r="M68" i="4"/>
  <c r="N68" i="4" s="1"/>
  <c r="O35" i="5"/>
  <c r="O65" i="5" s="1"/>
  <c r="Q65" i="5" s="1"/>
  <c r="D17" i="4"/>
  <c r="F17" i="4"/>
  <c r="O17" i="4"/>
  <c r="L17" i="4" s="1"/>
  <c r="O41" i="5"/>
  <c r="O66" i="5" s="1"/>
  <c r="Q66" i="5" s="1"/>
  <c r="M86" i="4"/>
  <c r="N86" i="4" s="1"/>
  <c r="E86" i="4"/>
  <c r="R51" i="5"/>
  <c r="K64" i="5" s="1"/>
  <c r="N38" i="4"/>
  <c r="E38" i="4"/>
  <c r="O20" i="4"/>
  <c r="L20" i="4" s="1"/>
  <c r="F20" i="4"/>
  <c r="D20" i="4"/>
  <c r="M62" i="5"/>
  <c r="M63" i="5"/>
  <c r="P63" i="5"/>
  <c r="O63" i="5"/>
  <c r="N63" i="5"/>
  <c r="E17" i="4" l="1"/>
  <c r="O14" i="5"/>
  <c r="O62" i="5" s="1"/>
  <c r="M17" i="4"/>
  <c r="N17" i="4" s="1"/>
  <c r="E20" i="4"/>
  <c r="P14" i="5"/>
  <c r="P62" i="5" s="1"/>
  <c r="M20" i="4"/>
  <c r="N20" i="4" s="1"/>
  <c r="O64" i="5"/>
  <c r="M64" i="5"/>
  <c r="N64" i="5"/>
  <c r="N67" i="5" s="1"/>
  <c r="P64" i="5"/>
  <c r="Q63" i="5"/>
  <c r="Q62" i="5" l="1"/>
  <c r="Q64" i="5"/>
  <c r="P67" i="5"/>
  <c r="M67" i="5"/>
  <c r="O67" i="5"/>
  <c r="Q67" i="5" l="1"/>
  <c r="O53" i="5" s="1"/>
  <c r="O42" i="5" s="1"/>
  <c r="J86" i="4" s="1"/>
  <c r="J88" i="4" s="1"/>
  <c r="I88" i="4" s="1"/>
  <c r="N51" i="5"/>
  <c r="N29" i="5" s="1"/>
  <c r="J44" i="4" s="1"/>
  <c r="M50" i="5"/>
  <c r="O50" i="5"/>
  <c r="O23" i="5" s="1"/>
  <c r="J31" i="4" s="1"/>
  <c r="O49" i="5"/>
  <c r="O15" i="5" s="1"/>
  <c r="J17" i="4" s="1"/>
  <c r="M49" i="5"/>
  <c r="J87" i="4" l="1"/>
  <c r="I87" i="4" s="1"/>
  <c r="P52" i="5"/>
  <c r="P36" i="5" s="1"/>
  <c r="J72" i="4" s="1"/>
  <c r="I75" i="4" s="1"/>
  <c r="N53" i="5"/>
  <c r="N42" i="5" s="1"/>
  <c r="J81" i="4" s="1"/>
  <c r="J84" i="4" s="1"/>
  <c r="N50" i="5"/>
  <c r="N23" i="5" s="1"/>
  <c r="J28" i="4" s="1"/>
  <c r="I30" i="4" s="1"/>
  <c r="P53" i="5"/>
  <c r="P42" i="5" s="1"/>
  <c r="J90" i="4" s="1"/>
  <c r="Q17" i="6" s="1"/>
  <c r="E37" i="9" s="1"/>
  <c r="N49" i="5"/>
  <c r="N15" i="5" s="1"/>
  <c r="J13" i="4" s="1"/>
  <c r="J16" i="4" s="1"/>
  <c r="P49" i="5"/>
  <c r="P15" i="5" s="1"/>
  <c r="P50" i="5"/>
  <c r="P23" i="5" s="1"/>
  <c r="J35" i="4" s="1"/>
  <c r="J36" i="4" s="1"/>
  <c r="I36" i="4" s="1"/>
  <c r="O51" i="5"/>
  <c r="O29" i="5" s="1"/>
  <c r="J49" i="4" s="1"/>
  <c r="I53" i="4" s="1"/>
  <c r="M53" i="5"/>
  <c r="M52" i="5"/>
  <c r="M36" i="5" s="1"/>
  <c r="J60" i="4" s="1"/>
  <c r="J63" i="4" s="1"/>
  <c r="J89" i="4"/>
  <c r="I89" i="4"/>
  <c r="H86" i="4" s="1"/>
  <c r="N17" i="6" s="1"/>
  <c r="M17" i="6"/>
  <c r="E36" i="9" s="1"/>
  <c r="P51" i="5"/>
  <c r="P29" i="5" s="1"/>
  <c r="J54" i="4" s="1"/>
  <c r="J56" i="4" s="1"/>
  <c r="I56" i="4" s="1"/>
  <c r="M51" i="5"/>
  <c r="M29" i="5" s="1"/>
  <c r="N52" i="5"/>
  <c r="N36" i="5" s="1"/>
  <c r="J64" i="4" s="1"/>
  <c r="O52" i="5"/>
  <c r="O36" i="5" s="1"/>
  <c r="J68" i="4" s="1"/>
  <c r="J69" i="4" s="1"/>
  <c r="I69" i="4" s="1"/>
  <c r="I17" i="6"/>
  <c r="E35" i="9" s="1"/>
  <c r="J85" i="4"/>
  <c r="J51" i="4"/>
  <c r="I51" i="4" s="1"/>
  <c r="M42" i="5"/>
  <c r="Q53" i="5"/>
  <c r="J32" i="4"/>
  <c r="I32" i="4" s="1"/>
  <c r="J34" i="4"/>
  <c r="J33" i="4"/>
  <c r="I33" i="4" s="1"/>
  <c r="I34" i="4"/>
  <c r="M11" i="6"/>
  <c r="E24" i="9" s="1"/>
  <c r="M15" i="5"/>
  <c r="J47" i="4"/>
  <c r="I47" i="4" s="1"/>
  <c r="I13" i="6"/>
  <c r="E27" i="9" s="1"/>
  <c r="J45" i="4"/>
  <c r="I45" i="4" s="1"/>
  <c r="I48" i="4"/>
  <c r="J46" i="4"/>
  <c r="I46" i="4" s="1"/>
  <c r="J48" i="4"/>
  <c r="J73" i="4"/>
  <c r="I73" i="4" s="1"/>
  <c r="J75" i="4"/>
  <c r="Q15" i="6"/>
  <c r="E33" i="9" s="1"/>
  <c r="M23" i="5"/>
  <c r="J19" i="4"/>
  <c r="M9" i="6"/>
  <c r="J18" i="4"/>
  <c r="I18" i="4" s="1"/>
  <c r="I19" i="4"/>
  <c r="I9" i="6" l="1"/>
  <c r="I93" i="4"/>
  <c r="J14" i="4"/>
  <c r="I14" i="4" s="1"/>
  <c r="J15" i="4"/>
  <c r="I15" i="4" s="1"/>
  <c r="I16" i="4"/>
  <c r="J74" i="4"/>
  <c r="I74" i="4" s="1"/>
  <c r="I84" i="4"/>
  <c r="J83" i="4"/>
  <c r="I83" i="4" s="1"/>
  <c r="J29" i="4"/>
  <c r="I29" i="4" s="1"/>
  <c r="J82" i="4"/>
  <c r="I82" i="4" s="1"/>
  <c r="I85" i="4"/>
  <c r="I11" i="6"/>
  <c r="E23" i="9" s="1"/>
  <c r="J92" i="4"/>
  <c r="I92" i="4" s="1"/>
  <c r="J50" i="4"/>
  <c r="I50" i="4" s="1"/>
  <c r="J91" i="4"/>
  <c r="I91" i="4" s="1"/>
  <c r="J93" i="4"/>
  <c r="J30" i="4"/>
  <c r="J52" i="4"/>
  <c r="I52" i="4" s="1"/>
  <c r="J53" i="4"/>
  <c r="J37" i="4"/>
  <c r="M13" i="6"/>
  <c r="E28" i="9" s="1"/>
  <c r="J61" i="4"/>
  <c r="I61" i="4" s="1"/>
  <c r="Q49" i="5"/>
  <c r="M54" i="5"/>
  <c r="I37" i="4"/>
  <c r="H35" i="4" s="1"/>
  <c r="R11" i="6" s="1"/>
  <c r="Q50" i="5"/>
  <c r="Q11" i="6"/>
  <c r="E25" i="9" s="1"/>
  <c r="I63" i="4"/>
  <c r="J62" i="4"/>
  <c r="I62" i="4" s="1"/>
  <c r="E15" i="6"/>
  <c r="E30" i="9" s="1"/>
  <c r="N9" i="5"/>
  <c r="J59" i="4"/>
  <c r="E21" i="8" s="1"/>
  <c r="O9" i="5"/>
  <c r="Q13" i="6"/>
  <c r="E29" i="9" s="1"/>
  <c r="Q51" i="5"/>
  <c r="J55" i="4"/>
  <c r="I55" i="4" s="1"/>
  <c r="P54" i="5"/>
  <c r="J57" i="4"/>
  <c r="I57" i="4" s="1"/>
  <c r="J58" i="4"/>
  <c r="J65" i="4"/>
  <c r="I65" i="4" s="1"/>
  <c r="I67" i="4"/>
  <c r="J66" i="4"/>
  <c r="I66" i="4" s="1"/>
  <c r="J67" i="4"/>
  <c r="J70" i="4"/>
  <c r="I70" i="4" s="1"/>
  <c r="I71" i="4"/>
  <c r="J71" i="4"/>
  <c r="M15" i="6"/>
  <c r="E32" i="9" s="1"/>
  <c r="I58" i="4"/>
  <c r="N54" i="5"/>
  <c r="L32" i="5"/>
  <c r="O54" i="5"/>
  <c r="Q52" i="5"/>
  <c r="I15" i="6"/>
  <c r="E31" i="9" s="1"/>
  <c r="H72" i="4"/>
  <c r="I86" i="4"/>
  <c r="K17" i="6" s="1"/>
  <c r="C36" i="9" s="1"/>
  <c r="F36" i="9" s="1"/>
  <c r="G36" i="9" s="1"/>
  <c r="H31" i="4"/>
  <c r="H28" i="4"/>
  <c r="J11" i="6" s="1"/>
  <c r="L10" i="5"/>
  <c r="M9" i="5"/>
  <c r="J10" i="4"/>
  <c r="L25" i="5"/>
  <c r="J39" i="4"/>
  <c r="P9" i="5"/>
  <c r="J20" i="4"/>
  <c r="L38" i="5"/>
  <c r="J77" i="4"/>
  <c r="J24" i="4"/>
  <c r="L19" i="5"/>
  <c r="H44" i="4"/>
  <c r="J13" i="6" s="1"/>
  <c r="H17" i="4"/>
  <c r="N9" i="6" s="1"/>
  <c r="H13" i="4"/>
  <c r="J9" i="6" s="1"/>
  <c r="E20" i="9"/>
  <c r="E19" i="9"/>
  <c r="I31" i="4" l="1"/>
  <c r="K11" i="6" s="1"/>
  <c r="C24" i="9" s="1"/>
  <c r="F24" i="9" s="1"/>
  <c r="G24" i="9" s="1"/>
  <c r="N11" i="6"/>
  <c r="I72" i="4"/>
  <c r="O15" i="6" s="1"/>
  <c r="C33" i="9" s="1"/>
  <c r="F33" i="9" s="1"/>
  <c r="G33" i="9" s="1"/>
  <c r="R15" i="6"/>
  <c r="H81" i="4"/>
  <c r="J17" i="6" s="1"/>
  <c r="H49" i="4"/>
  <c r="N13" i="6" s="1"/>
  <c r="H90" i="4"/>
  <c r="R17" i="6" s="1"/>
  <c r="H60" i="4"/>
  <c r="F15" i="6" s="1"/>
  <c r="E19" i="7"/>
  <c r="Q54" i="5"/>
  <c r="H54" i="4"/>
  <c r="E20" i="7"/>
  <c r="H68" i="4"/>
  <c r="H64" i="4"/>
  <c r="J15" i="6" s="1"/>
  <c r="I28" i="4"/>
  <c r="G11" i="6" s="1"/>
  <c r="C23" i="9" s="1"/>
  <c r="F23" i="9" s="1"/>
  <c r="G23" i="9" s="1"/>
  <c r="I13" i="4"/>
  <c r="G9" i="6" s="1"/>
  <c r="C19" i="9" s="1"/>
  <c r="F19" i="9" s="1"/>
  <c r="G19" i="9" s="1"/>
  <c r="I17" i="4"/>
  <c r="K9" i="6" s="1"/>
  <c r="C20" i="9" s="1"/>
  <c r="F20" i="9" s="1"/>
  <c r="G20" i="9" s="1"/>
  <c r="I44" i="4"/>
  <c r="G13" i="6" s="1"/>
  <c r="C27" i="9" s="1"/>
  <c r="F27" i="9" s="1"/>
  <c r="G27" i="9" s="1"/>
  <c r="E17" i="6"/>
  <c r="E34" i="9" s="1"/>
  <c r="J76" i="4"/>
  <c r="E22" i="8" s="1"/>
  <c r="J79" i="4"/>
  <c r="I79" i="4" s="1"/>
  <c r="J80" i="4"/>
  <c r="I80" i="4"/>
  <c r="J78" i="4"/>
  <c r="I78" i="4" s="1"/>
  <c r="J43" i="4"/>
  <c r="J42" i="4"/>
  <c r="I42" i="4" s="1"/>
  <c r="J38" i="4"/>
  <c r="E20" i="8" s="1"/>
  <c r="J41" i="4"/>
  <c r="I41" i="4" s="1"/>
  <c r="J40" i="4"/>
  <c r="I40" i="4" s="1"/>
  <c r="E13" i="6"/>
  <c r="E26" i="9" s="1"/>
  <c r="I43" i="4"/>
  <c r="I35" i="4"/>
  <c r="O11" i="6" s="1"/>
  <c r="C25" i="9" s="1"/>
  <c r="F25" i="9" s="1"/>
  <c r="G25" i="9" s="1"/>
  <c r="J9" i="4"/>
  <c r="I12" i="4"/>
  <c r="J11" i="4"/>
  <c r="I11" i="4" s="1"/>
  <c r="E9" i="6"/>
  <c r="J12" i="4"/>
  <c r="E11" i="6"/>
  <c r="E22" i="9" s="1"/>
  <c r="J23" i="4"/>
  <c r="E19" i="8" s="1"/>
  <c r="J25" i="4"/>
  <c r="I25" i="4" s="1"/>
  <c r="J26" i="4"/>
  <c r="I26" i="4" s="1"/>
  <c r="J27" i="4"/>
  <c r="I27" i="4" s="1"/>
  <c r="Q9" i="6"/>
  <c r="J22" i="4"/>
  <c r="I22" i="4" s="1"/>
  <c r="J21" i="4"/>
  <c r="I21" i="4" s="1"/>
  <c r="I68" i="4" l="1"/>
  <c r="K15" i="6" s="1"/>
  <c r="C32" i="9" s="1"/>
  <c r="F32" i="9" s="1"/>
  <c r="G32" i="9" s="1"/>
  <c r="N15" i="6"/>
  <c r="I49" i="4"/>
  <c r="K13" i="6" s="1"/>
  <c r="C28" i="9" s="1"/>
  <c r="F28" i="9" s="1"/>
  <c r="G28" i="9" s="1"/>
  <c r="I54" i="4"/>
  <c r="O13" i="6" s="1"/>
  <c r="C29" i="9" s="1"/>
  <c r="F29" i="9" s="1"/>
  <c r="G29" i="9" s="1"/>
  <c r="R13" i="6"/>
  <c r="I81" i="4"/>
  <c r="G17" i="6" s="1"/>
  <c r="C35" i="9" s="1"/>
  <c r="F35" i="9" s="1"/>
  <c r="G35" i="9" s="1"/>
  <c r="I60" i="4"/>
  <c r="C15" i="6" s="1"/>
  <c r="C30" i="9" s="1"/>
  <c r="F30" i="9" s="1"/>
  <c r="G30" i="9" s="1"/>
  <c r="I90" i="4"/>
  <c r="O17" i="6" s="1"/>
  <c r="C37" i="9" s="1"/>
  <c r="F37" i="9" s="1"/>
  <c r="G37" i="9" s="1"/>
  <c r="I64" i="4"/>
  <c r="G15" i="6" s="1"/>
  <c r="C31" i="9" s="1"/>
  <c r="F31" i="9" s="1"/>
  <c r="G31" i="9" s="1"/>
  <c r="H77" i="4"/>
  <c r="F17" i="6" s="1"/>
  <c r="H20" i="4"/>
  <c r="H39" i="4"/>
  <c r="F13" i="6" s="1"/>
  <c r="H24" i="4"/>
  <c r="F11" i="6" s="1"/>
  <c r="C20" i="7"/>
  <c r="F20" i="7" s="1"/>
  <c r="G20" i="7" s="1"/>
  <c r="E18" i="8"/>
  <c r="J4" i="4"/>
  <c r="E18" i="9"/>
  <c r="E18" i="7"/>
  <c r="E21" i="9"/>
  <c r="E21" i="7"/>
  <c r="H10" i="4"/>
  <c r="F9" i="6" s="1"/>
  <c r="I20" i="4" l="1"/>
  <c r="O9" i="6" s="1"/>
  <c r="R9" i="6"/>
  <c r="I59" i="4"/>
  <c r="C21" i="8" s="1"/>
  <c r="F21" i="8" s="1"/>
  <c r="G21" i="8" s="1"/>
  <c r="C19" i="7"/>
  <c r="F19" i="7" s="1"/>
  <c r="G19" i="7" s="1"/>
  <c r="I77" i="4"/>
  <c r="I24" i="4"/>
  <c r="C11" i="6" s="1"/>
  <c r="C22" i="9" s="1"/>
  <c r="F22" i="9" s="1"/>
  <c r="G22" i="9" s="1"/>
  <c r="I39" i="4"/>
  <c r="J95" i="4"/>
  <c r="E38" i="9"/>
  <c r="M4" i="6"/>
  <c r="E23" i="8"/>
  <c r="E22" i="7"/>
  <c r="C21" i="9"/>
  <c r="F21" i="9" s="1"/>
  <c r="G21" i="9" s="1"/>
  <c r="C21" i="7"/>
  <c r="F21" i="7" s="1"/>
  <c r="G21" i="7" s="1"/>
  <c r="I10" i="4"/>
  <c r="H59" i="4" l="1"/>
  <c r="I76" i="4"/>
  <c r="C17" i="6"/>
  <c r="C34" i="9" s="1"/>
  <c r="F34" i="9" s="1"/>
  <c r="G34" i="9" s="1"/>
  <c r="I23" i="4"/>
  <c r="C19" i="8" s="1"/>
  <c r="F19" i="8" s="1"/>
  <c r="G19" i="8" s="1"/>
  <c r="I38" i="4"/>
  <c r="C13" i="6"/>
  <c r="C26" i="9" s="1"/>
  <c r="F26" i="9" s="1"/>
  <c r="G26" i="9" s="1"/>
  <c r="I9" i="4"/>
  <c r="C9" i="6"/>
  <c r="H76" i="4" l="1"/>
  <c r="C22" i="8"/>
  <c r="F22" i="8" s="1"/>
  <c r="G22" i="8" s="1"/>
  <c r="H23" i="4"/>
  <c r="C20" i="8"/>
  <c r="F20" i="8" s="1"/>
  <c r="G20" i="8" s="1"/>
  <c r="H38" i="4"/>
  <c r="C18" i="9"/>
  <c r="F18" i="9" s="1"/>
  <c r="G18" i="9" s="1"/>
  <c r="C18" i="7"/>
  <c r="F18" i="7" s="1"/>
  <c r="G18" i="7" s="1"/>
  <c r="H9" i="4"/>
  <c r="C18" i="8"/>
  <c r="F18" i="8" s="1"/>
  <c r="G18" i="8" s="1"/>
  <c r="I4" i="4"/>
  <c r="I95" i="4" l="1"/>
  <c r="H4" i="4"/>
  <c r="H95" i="4" s="1"/>
  <c r="C23" i="8"/>
  <c r="F23" i="8" s="1"/>
  <c r="C38" i="9"/>
  <c r="F38" i="9" s="1"/>
  <c r="C22" i="7"/>
  <c r="F22" i="7" s="1"/>
  <c r="K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0" authorId="0" shapeId="0" xr:uid="{00000000-0006-0000-0400-000001000000}">
      <text>
        <r>
          <rPr>
            <sz val="8"/>
            <color indexed="8"/>
            <rFont val="Segoe UI"/>
            <family val="2"/>
          </rPr>
          <t xml:space="preserve">please insert the total expenditures on the supply chain. This does not include taxes, royalties and finance costs. </t>
        </r>
      </text>
    </comment>
    <comment ref="M10" authorId="0" shapeId="0" xr:uid="{00000000-0006-0000-0400-000002000000}">
      <text>
        <r>
          <rPr>
            <sz val="8"/>
            <color indexed="8"/>
            <rFont val="Arial"/>
            <family val="2"/>
          </rPr>
          <t>the weighting of topics is dependent on the social risk of the industry of the supplier (see country rating). The social risk is currently deduced from societal controversies in the respective industry. In future a more elaborate approach is aimed</t>
        </r>
      </text>
    </comment>
    <comment ref="N10" authorId="0" shapeId="0" xr:uid="{00000000-0006-0000-0400-000003000000}">
      <text>
        <r>
          <rPr>
            <sz val="8"/>
            <color indexed="8"/>
            <rFont val="Segoe UI"/>
            <family val="2"/>
          </rPr>
          <t xml:space="preserve">currently no weighting, one idea: regional minimum wages / gini-coefficient?
</t>
        </r>
      </text>
    </comment>
    <comment ref="O10" authorId="0" shapeId="0" xr:uid="{00000000-0006-0000-0400-000004000000}">
      <text>
        <r>
          <rPr>
            <sz val="8"/>
            <color indexed="8"/>
            <rFont val="Segoe UI"/>
            <family val="2"/>
          </rPr>
          <t>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P10" authorId="0" shapeId="0" xr:uid="{00000000-0006-0000-0400-000005000000}">
      <text>
        <r>
          <rPr>
            <sz val="8"/>
            <color indexed="8"/>
            <rFont val="Segoe UI"/>
            <family val="2"/>
          </rPr>
          <t>The weighting of topics is dependent on the labour participation rights in the countries of origin of the most important purchased goods and services and is based on the ILUC-Index of the International Labour Union (ILO)</t>
        </r>
      </text>
    </comment>
    <comment ref="F12" authorId="0" shapeId="0" xr:uid="{00000000-0006-0000-0400-000006000000}">
      <text>
        <r>
          <rPr>
            <sz val="8"/>
            <color indexed="8"/>
            <rFont val="Segoe UI"/>
            <family val="2"/>
          </rPr>
          <t xml:space="preserve">Please in the five most important industries your companies purchased goods or services from. </t>
        </r>
      </text>
    </comment>
    <comment ref="G12" authorId="0" shapeId="0" xr:uid="{00000000-0006-0000-0400-000007000000}">
      <text>
        <r>
          <rPr>
            <sz val="8"/>
            <color indexed="8"/>
            <rFont val="Cambria"/>
            <family val="1"/>
          </rPr>
          <t xml:space="preserve">Please describe in the five most importantgoods or services your company purchased 
</t>
        </r>
      </text>
    </comment>
    <comment ref="H12" authorId="0" shapeId="0" xr:uid="{00000000-0006-0000-0400-000008000000}">
      <text>
        <r>
          <rPr>
            <sz val="8"/>
            <color indexed="8"/>
            <rFont val="Segoe UI"/>
            <family val="2"/>
          </rPr>
          <t>Please select the region where the five most important  purchased goods or services are produced. Select, as far as possible, the region where the most important step happens (e.g. extraction, production )</t>
        </r>
      </text>
    </comment>
    <comment ref="I12" authorId="0" shapeId="0" xr:uid="{00000000-0006-0000-0400-000009000000}">
      <text>
        <r>
          <rPr>
            <sz val="8"/>
            <color indexed="8"/>
            <rFont val="Segoe UI"/>
            <family val="2"/>
          </rPr>
          <t xml:space="preserve">Please insert the amounts spent for the five most important industries your companies purchased goods or services from. </t>
        </r>
      </text>
    </comment>
    <comment ref="F19" authorId="0" shapeId="0" xr:uid="{00000000-0006-0000-0400-00000A000000}">
      <text>
        <r>
          <rPr>
            <sz val="8"/>
            <color indexed="8"/>
            <rFont val="Segoe UI"/>
            <family val="2"/>
          </rPr>
          <t>please insert the profit after tax of the company</t>
        </r>
      </text>
    </comment>
    <comment ref="M19" authorId="0" shapeId="0" xr:uid="{00000000-0006-0000-0400-00000B000000}">
      <text>
        <r>
          <rPr>
            <sz val="8"/>
            <color indexed="8"/>
            <rFont val="Segoe UI"/>
            <family val="2"/>
          </rPr>
          <t>the weighting of this topics is dependent on the ratio of sales / total assets. The lower the ratio, the higher is the rating</t>
        </r>
      </text>
    </comment>
    <comment ref="N19" authorId="0" shapeId="0" xr:uid="{00000000-0006-0000-0400-00000C000000}">
      <text>
        <r>
          <rPr>
            <sz val="8"/>
            <color indexed="8"/>
            <rFont val="Segoe UI"/>
            <family val="2"/>
          </rPr>
          <t>the weighting of this topics is dependent on the amount of the ratio  (profit / turnover)</t>
        </r>
      </text>
    </comment>
    <comment ref="O19" authorId="0" shapeId="0" xr:uid="{00000000-0006-0000-0400-00000D000000}">
      <text>
        <r>
          <rPr>
            <sz val="8"/>
            <color indexed="8"/>
            <rFont val="Segoe UI"/>
            <family val="2"/>
          </rPr>
          <t>the weighting of this topics is dependent on the interest received for invested capital in relation to the turnover</t>
        </r>
      </text>
    </comment>
    <comment ref="P19" authorId="0" shapeId="0" xr:uid="{00000000-0006-0000-0400-00000E000000}">
      <text>
        <r>
          <rPr>
            <sz val="8"/>
            <color indexed="8"/>
            <rFont val="Segoe UI"/>
            <family val="2"/>
          </rPr>
          <t xml:space="preserve">the weighting of this topics is dependent on the size of the company </t>
        </r>
      </text>
    </comment>
    <comment ref="F21" authorId="0" shapeId="0" xr:uid="{00000000-0006-0000-0400-00000F000000}">
      <text>
        <r>
          <rPr>
            <sz val="8"/>
            <color indexed="8"/>
            <rFont val="Segoe UI"/>
            <family val="2"/>
          </rPr>
          <t>please insert the total amount of finance costs (expenses for interest, distributed profits to external persons, etc.).</t>
        </r>
      </text>
    </comment>
    <comment ref="G22" authorId="0" shapeId="0" xr:uid="{00000000-0006-0000-0400-000010000000}">
      <text>
        <r>
          <rPr>
            <b/>
            <sz val="8"/>
            <color indexed="8"/>
            <rFont val="Segoe UI"/>
            <family val="2"/>
          </rPr>
          <t xml:space="preserve">T410:
</t>
        </r>
        <r>
          <rPr>
            <sz val="8"/>
            <color indexed="8"/>
            <rFont val="Segoe UI"/>
            <family val="2"/>
          </rPr>
          <t>please insert the total finance income (e.g. interests received)</t>
        </r>
      </text>
    </comment>
    <comment ref="G23" authorId="0" shapeId="0" xr:uid="{00000000-0006-0000-0400-000011000000}">
      <text>
        <r>
          <rPr>
            <sz val="8"/>
            <color indexed="8"/>
            <rFont val="Segoe UI"/>
            <family val="2"/>
          </rPr>
          <t>please insert the total assets of the balance sheet</t>
        </r>
      </text>
    </comment>
    <comment ref="F24" authorId="0" shapeId="0" xr:uid="{00000000-0006-0000-0400-000012000000}">
      <text>
        <r>
          <rPr>
            <sz val="8"/>
            <color indexed="8"/>
            <rFont val="Segoe UI"/>
            <family val="2"/>
          </rPr>
          <t xml:space="preserve">
please insert the sum of financial instrument, (e.g. bonds, pensions funds) and deposit at banks or a rough estimate</t>
        </r>
      </text>
    </comment>
    <comment ref="H24" authorId="0" shapeId="0" xr:uid="{00000000-0006-0000-0400-000013000000}">
      <text>
        <r>
          <rPr>
            <sz val="8"/>
            <color indexed="8"/>
            <rFont val="Segoe UI"/>
            <family val="2"/>
          </rPr>
          <t xml:space="preserve">
please insert the sum of financial instrument, (e.g. bonds, pensions funds) and deposit at banks or a rough estimate</t>
        </r>
      </text>
    </comment>
    <comment ref="F25" authorId="0" shapeId="0" xr:uid="{00000000-0006-0000-0400-000014000000}">
      <text>
        <r>
          <rPr>
            <sz val="8"/>
            <color indexed="8"/>
            <rFont val="Segoe UI"/>
            <family val="2"/>
          </rPr>
          <t>please insert the total expenditures on employees (wages and salaries without social expenditures)</t>
        </r>
      </text>
    </comment>
    <comment ref="O25" authorId="0" shapeId="0" xr:uid="{00000000-0006-0000-0400-000015000000}">
      <text>
        <r>
          <rPr>
            <sz val="8"/>
            <color indexed="8"/>
            <rFont val="Segoe UI"/>
            <family val="2"/>
          </rPr>
          <t>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P25" authorId="0" shapeId="0" xr:uid="{00000000-0006-0000-0400-000016000000}">
      <text>
        <r>
          <rPr>
            <sz val="8"/>
            <color indexed="8"/>
            <rFont val="Segoe UI"/>
            <family val="2"/>
          </rPr>
          <t xml:space="preserve">the weighting of this topics is dependent on the size of the company </t>
        </r>
      </text>
    </comment>
    <comment ref="F26" authorId="0" shapeId="0" xr:uid="{00000000-0006-0000-0400-000017000000}">
      <text>
        <r>
          <rPr>
            <sz val="8"/>
            <color indexed="8"/>
            <rFont val="Segoe UI"/>
            <family val="2"/>
          </rPr>
          <t>please insert the total number of employees by full-time-equivalents</t>
        </r>
      </text>
    </comment>
    <comment ref="G27" authorId="0" shapeId="0" xr:uid="{00000000-0006-0000-0400-000018000000}">
      <text>
        <r>
          <rPr>
            <sz val="8"/>
            <color indexed="8"/>
            <rFont val="Segoe UI"/>
            <family val="2"/>
          </rPr>
          <t>please name the country with the most employees and their precentage of all employees</t>
        </r>
      </text>
    </comment>
    <comment ref="G28" authorId="0" shapeId="0" xr:uid="{00000000-0006-0000-0400-000019000000}">
      <text>
        <r>
          <rPr>
            <sz val="8"/>
            <color indexed="8"/>
            <rFont val="Segoe UI"/>
            <family val="2"/>
          </rPr>
          <t>please name the country with the 2nd most employees and their precentage of all employees</t>
        </r>
      </text>
    </comment>
    <comment ref="G29" authorId="0" shapeId="0" xr:uid="{00000000-0006-0000-0400-00001A000000}">
      <text>
        <r>
          <rPr>
            <sz val="8"/>
            <color indexed="8"/>
            <rFont val="Segoe UI"/>
            <family val="2"/>
          </rPr>
          <t>please name the country with the 3rd most employees and their precentage of all employees</t>
        </r>
      </text>
    </comment>
    <comment ref="F30" authorId="0" shapeId="0" xr:uid="{00000000-0006-0000-0400-00001B000000}">
      <text>
        <r>
          <rPr>
            <sz val="8"/>
            <color indexed="8"/>
            <rFont val="Segoe UI"/>
            <family val="2"/>
          </rPr>
          <t>please insert the (estimated) average distance of the employees from the company in km</t>
        </r>
      </text>
    </comment>
    <comment ref="F31" authorId="0" shapeId="0" xr:uid="{00000000-0006-0000-0400-00001C000000}">
      <text>
        <r>
          <rPr>
            <sz val="8"/>
            <color indexed="8"/>
            <rFont val="Segoe UI"/>
            <family val="2"/>
          </rPr>
          <t>Does a company cantine exist, which more than 50% of the employee use?</t>
        </r>
      </text>
    </comment>
    <comment ref="F32" authorId="0" shapeId="0" xr:uid="{00000000-0006-0000-0400-00001D000000}">
      <text>
        <r>
          <rPr>
            <sz val="8"/>
            <color indexed="8"/>
            <rFont val="Segoe UI"/>
            <family val="2"/>
          </rPr>
          <t>please insert the total sales (source:  income statement)</t>
        </r>
      </text>
    </comment>
    <comment ref="O32" authorId="0" shapeId="0" xr:uid="{00000000-0006-0000-0400-00001E000000}">
      <text>
        <r>
          <rPr>
            <sz val="8"/>
            <color indexed="8"/>
            <rFont val="Segoe UI"/>
            <family val="2"/>
          </rPr>
          <t>the weighting of topic is dependent on the envrionmental risk of the industry. The risk is currently deduced from interviews with experts and media research. Based on environmental input-output data more precise data should be available soon</t>
        </r>
      </text>
    </comment>
    <comment ref="P32" authorId="0" shapeId="0" xr:uid="{00000000-0006-0000-0400-00001F000000}">
      <text>
        <r>
          <rPr>
            <b/>
            <sz val="8"/>
            <color indexed="8"/>
            <rFont val="Segoe UI"/>
            <family val="2"/>
          </rPr>
          <t>The Weighting is low if the company has almost entirely B2B-business</t>
        </r>
      </text>
    </comment>
    <comment ref="F34" authorId="0" shapeId="0" xr:uid="{00000000-0006-0000-0400-000020000000}">
      <text>
        <r>
          <rPr>
            <sz val="8"/>
            <color indexed="8"/>
            <rFont val="Segoe UI"/>
            <family val="2"/>
          </rPr>
          <t>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34" authorId="0" shapeId="0" xr:uid="{00000000-0006-0000-0400-000021000000}">
      <text>
        <r>
          <rPr>
            <sz val="8"/>
            <color indexed="8"/>
            <rFont val="Segoe UI"/>
            <family val="2"/>
          </rPr>
          <t>please insert a short description of the service and product</t>
        </r>
      </text>
    </comment>
    <comment ref="N38" authorId="0" shapeId="0" xr:uid="{00000000-0006-0000-0400-000022000000}">
      <text>
        <r>
          <rPr>
            <sz val="8"/>
            <color indexed="8"/>
            <rFont val="Segoe UI"/>
            <family val="2"/>
          </rPr>
          <t>the weighting of this topics is dependent on the amount of the ratio  (profit / turnover)</t>
        </r>
      </text>
    </comment>
    <comment ref="O38" authorId="0" shapeId="0" xr:uid="{00000000-0006-0000-0400-000023000000}">
      <text>
        <r>
          <rPr>
            <sz val="8"/>
            <color indexed="8"/>
            <rFont val="Segoe UI"/>
            <family val="2"/>
          </rPr>
          <t>the weighting of topic is dependent on the envrionmental risk of the industry. The risk is currently deduced from expert interview and media research. Based on environmental input-output data more precise data should be available soon</t>
        </r>
      </text>
    </comment>
    <comment ref="P38" authorId="0" shapeId="0" xr:uid="{00000000-0006-0000-0400-000024000000}">
      <text>
        <r>
          <rPr>
            <sz val="8"/>
            <color indexed="8"/>
            <rFont val="Segoe UI"/>
            <family val="2"/>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<sst xmlns="http://schemas.openxmlformats.org/spreadsheetml/2006/main" count="5118" uniqueCount="3362">
  <si>
    <t>a)</t>
  </si>
  <si>
    <t>b)</t>
  </si>
  <si>
    <t>c)</t>
  </si>
  <si>
    <t>d)</t>
  </si>
  <si>
    <t>e)</t>
  </si>
  <si>
    <t>Ja</t>
  </si>
  <si>
    <t>Nein</t>
  </si>
  <si>
    <t>P - Bildung</t>
  </si>
  <si>
    <t>ausblenden</t>
  </si>
  <si>
    <t>ausblenben</t>
  </si>
  <si>
    <t>Gewichtung Standard</t>
  </si>
  <si>
    <t>Reset</t>
  </si>
  <si>
    <t>A</t>
  </si>
  <si>
    <t>A1</t>
  </si>
  <si>
    <t>A1.1</t>
  </si>
  <si>
    <t>A1.2</t>
  </si>
  <si>
    <t>A2</t>
  </si>
  <si>
    <t>A2.1</t>
  </si>
  <si>
    <t>A2.2</t>
  </si>
  <si>
    <t>A2.3</t>
  </si>
  <si>
    <t>A3</t>
  </si>
  <si>
    <t>A3.1</t>
  </si>
  <si>
    <t>A3.2</t>
  </si>
  <si>
    <t>A4</t>
  </si>
  <si>
    <t>A4.1</t>
  </si>
  <si>
    <t>A4.2</t>
  </si>
  <si>
    <t>B</t>
  </si>
  <si>
    <t>B1</t>
  </si>
  <si>
    <t>B1.1</t>
  </si>
  <si>
    <t>B1.2</t>
  </si>
  <si>
    <t>B1.3</t>
  </si>
  <si>
    <t>B2</t>
  </si>
  <si>
    <t>B2.1</t>
  </si>
  <si>
    <t>B2.2</t>
  </si>
  <si>
    <t>B3</t>
  </si>
  <si>
    <t>B3.1</t>
  </si>
  <si>
    <t>B3.2</t>
  </si>
  <si>
    <t>B3.3</t>
  </si>
  <si>
    <t>B4</t>
  </si>
  <si>
    <t>B4.1</t>
  </si>
  <si>
    <t>B4.2</t>
  </si>
  <si>
    <t>C</t>
  </si>
  <si>
    <t>C1</t>
  </si>
  <si>
    <t>C1.1</t>
  </si>
  <si>
    <t>C1.2</t>
  </si>
  <si>
    <t>C1.3</t>
  </si>
  <si>
    <t>C1.4</t>
  </si>
  <si>
    <t>C2</t>
  </si>
  <si>
    <t>C2.1</t>
  </si>
  <si>
    <t>C2.2</t>
  </si>
  <si>
    <t>C2.3</t>
  </si>
  <si>
    <t>C2.4</t>
  </si>
  <si>
    <t>C3</t>
  </si>
  <si>
    <t>C3.1</t>
  </si>
  <si>
    <t>C3.2</t>
  </si>
  <si>
    <t>C3.3</t>
  </si>
  <si>
    <t>C3.4</t>
  </si>
  <si>
    <t>C4</t>
  </si>
  <si>
    <t>C4.1</t>
  </si>
  <si>
    <t>C4.2</t>
  </si>
  <si>
    <t>C4.3</t>
  </si>
  <si>
    <t>C4.4</t>
  </si>
  <si>
    <t>D</t>
  </si>
  <si>
    <t>D1</t>
  </si>
  <si>
    <t>D1.1</t>
  </si>
  <si>
    <t>D1.2</t>
  </si>
  <si>
    <t>D1.3</t>
  </si>
  <si>
    <t>D2</t>
  </si>
  <si>
    <t>D2.1</t>
  </si>
  <si>
    <t>D2.2</t>
  </si>
  <si>
    <t>D2.3</t>
  </si>
  <si>
    <t>D3</t>
  </si>
  <si>
    <t>D3.1</t>
  </si>
  <si>
    <t>D3.2</t>
  </si>
  <si>
    <t>D3.3</t>
  </si>
  <si>
    <t>D4</t>
  </si>
  <si>
    <t>D4.1</t>
  </si>
  <si>
    <t>D4.2</t>
  </si>
  <si>
    <t>E</t>
  </si>
  <si>
    <t>E1</t>
  </si>
  <si>
    <t>E1.1</t>
  </si>
  <si>
    <t>E1.2</t>
  </si>
  <si>
    <t>E1.3</t>
  </si>
  <si>
    <t>E2</t>
  </si>
  <si>
    <t>E2.1</t>
  </si>
  <si>
    <t>E2.2</t>
  </si>
  <si>
    <t>E2.3</t>
  </si>
  <si>
    <t>E2.4</t>
  </si>
  <si>
    <t>E3</t>
  </si>
  <si>
    <t>E3.1</t>
  </si>
  <si>
    <t>E3.2</t>
  </si>
  <si>
    <t>E3.3</t>
  </si>
  <si>
    <t>E4</t>
  </si>
  <si>
    <t>E4.1</t>
  </si>
  <si>
    <t>E4.2</t>
  </si>
  <si>
    <t>E4.3</t>
  </si>
  <si>
    <t>MATRIX 5.0</t>
  </si>
  <si>
    <t>VALUES WERTE</t>
  </si>
  <si>
    <t xml:space="preserve">1) HUMAN DIGNITY </t>
  </si>
  <si>
    <t>2) SOLIDARITY &amp;  JUSTICE</t>
  </si>
  <si>
    <t>3) ECOLOGICAL SUSTAINABILITY</t>
  </si>
  <si>
    <t>4) DEMOCRATIC CO-DETERMINATION AND TRANSPARENCY</t>
  </si>
  <si>
    <t>Total Sales (in Mio Euro)</t>
  </si>
  <si>
    <t>Total Assets (in Mio Euro)</t>
  </si>
  <si>
    <t>fields necessary to fill out</t>
  </si>
  <si>
    <t>these field contains a comment on the necesarry information for cells to be filled out or on the weighting in general</t>
  </si>
  <si>
    <t>STAKEHOLDER                                                    BERÜHRUNGSGGRUPPE</t>
  </si>
  <si>
    <t>Gesamt-Ausgaben an Lieferanten / total expenditures on the supply chain</t>
  </si>
  <si>
    <t>A: SUPPLIERS</t>
  </si>
  <si>
    <t>NACE</t>
  </si>
  <si>
    <t>Industry</t>
  </si>
  <si>
    <t>Product / Services Description</t>
  </si>
  <si>
    <t>Region</t>
  </si>
  <si>
    <t>Expenditures</t>
  </si>
  <si>
    <t>Rest</t>
  </si>
  <si>
    <t xml:space="preserve">profit </t>
  </si>
  <si>
    <t>B: INVESTORS</t>
  </si>
  <si>
    <t xml:space="preserve">profit in % of total Sales </t>
  </si>
  <si>
    <t>profit</t>
  </si>
  <si>
    <t>EQ-Quote</t>
  </si>
  <si>
    <t>costs of finance</t>
  </si>
  <si>
    <t>&lt;-- (zugänge anlageverm.+financial assets)/total assets</t>
  </si>
  <si>
    <t>finance income</t>
  </si>
  <si>
    <t>&lt;-- ratio: sales/assets</t>
  </si>
  <si>
    <t>total assets</t>
  </si>
  <si>
    <t>"zugänge zum anlagevermögen"</t>
  </si>
  <si>
    <t>"invested money"</t>
  </si>
  <si>
    <t>employee expenditures</t>
  </si>
  <si>
    <t>C: EMPLOYEES</t>
  </si>
  <si>
    <t xml:space="preserve">number of FTE </t>
  </si>
  <si>
    <t>Does an Cantine for the majority of employees exist?</t>
  </si>
  <si>
    <t>companay szie</t>
  </si>
  <si>
    <t xml:space="preserve">% employees  in </t>
  </si>
  <si>
    <t xml:space="preserve">% employees in </t>
  </si>
  <si>
    <t>potential commuting impact</t>
  </si>
  <si>
    <t>existence of a company canteen</t>
  </si>
  <si>
    <t>total sales</t>
  </si>
  <si>
    <t>D: CUSTOMERS</t>
  </si>
  <si>
    <t>B2B / B2C</t>
  </si>
  <si>
    <t>industry</t>
  </si>
  <si>
    <t>% of total sales</t>
  </si>
  <si>
    <t>E: SOCIETY</t>
  </si>
  <si>
    <t>Company Size (EU definition)</t>
  </si>
  <si>
    <t>1) HUMAN DIGNITY</t>
  </si>
  <si>
    <t>2) COOPERATION AND SOLIDARITY</t>
  </si>
  <si>
    <t>5) DEMOCRATIC CO-DETERMINATION AND TRANSPARENCY</t>
  </si>
  <si>
    <t>Weighting Points</t>
  </si>
  <si>
    <t>trifft nicht zu</t>
  </si>
  <si>
    <t>niedrig</t>
  </si>
  <si>
    <t>mittel</t>
  </si>
  <si>
    <t>hoch</t>
  </si>
  <si>
    <t>sehr hoch</t>
  </si>
  <si>
    <t>DIFFERENCE TO MATRIX 4.0 WEIGHTING</t>
  </si>
  <si>
    <t>-</t>
  </si>
  <si>
    <t>INDUSTRY WEIGHTING - COMMON GOOD MATRIX</t>
  </si>
  <si>
    <r>
      <rPr>
        <b/>
        <sz val="8"/>
        <color indexed="9"/>
        <rFont val="Arial"/>
        <family val="2"/>
      </rPr>
      <t>INDUSTRY</t>
    </r>
    <r>
      <rPr>
        <sz val="8"/>
        <color indexed="9"/>
        <rFont val="Arial"/>
        <family val="2"/>
      </rPr>
      <t xml:space="preserve"> </t>
    </r>
  </si>
  <si>
    <t>A1 -social risks in the Supply Chain</t>
  </si>
  <si>
    <t>A3 -ecological sustainability in the Supply Chain</t>
  </si>
  <si>
    <t>D3 - Ecological Design of products and services</t>
  </si>
  <si>
    <t>E3 -  Reduction of Environmental Impact</t>
  </si>
  <si>
    <t>E4 - Social transparency and co-
determination</t>
  </si>
  <si>
    <t>A3 - Ecologicla Supply Chain Risk</t>
  </si>
  <si>
    <t>(based UN International Standard Industrial Classification of All Economic Activities, Rev.4 -http://unstats.un.org/unsd/cr/registry/regcst.asp?Cl=27)</t>
  </si>
  <si>
    <t>weighting</t>
  </si>
  <si>
    <t>argumentation: based on the social risks in the industry</t>
  </si>
  <si>
    <r>
      <rPr>
        <b/>
        <sz val="7"/>
        <color indexed="8"/>
        <rFont val="Arial"/>
        <family val="2"/>
      </rPr>
      <t xml:space="preserve">argumentation: </t>
    </r>
    <r>
      <rPr>
        <sz val="7"/>
        <color indexed="8"/>
        <rFont val="Arial"/>
        <family val="2"/>
      </rPr>
      <t>based on ecological impact on the planterary boundaries in the supply cahin (studies and the use of quantitative models - e.g. ecological footprint - will be applied herefor)</t>
    </r>
  </si>
  <si>
    <r>
      <rPr>
        <b/>
        <sz val="7"/>
        <color indexed="8"/>
        <rFont val="Arial"/>
        <family val="2"/>
      </rPr>
      <t xml:space="preserve">argumentation: </t>
    </r>
    <r>
      <rPr>
        <sz val="7"/>
        <color indexed="8"/>
        <rFont val="Arial"/>
        <family val="2"/>
      </rPr>
      <t>based on the products / service impact on the planterary boundaries in the use phase (studies and the use of quantitative models - e.g. ecological footprint - will be applied herefor)</t>
    </r>
  </si>
  <si>
    <t>argumentation: based on the sectors direct impact in the production phase on the planterary boundaries (studies and the use of quantitative models will be applied herefor); e.g. sehr hoch: The sector has a major impact of various planetary boundaries</t>
  </si>
  <si>
    <r>
      <rPr>
        <b/>
        <sz val="7"/>
        <color indexed="8"/>
        <rFont val="Arial"/>
        <family val="2"/>
      </rPr>
      <t xml:space="preserve">argumentation: </t>
    </r>
    <r>
      <rPr>
        <sz val="7"/>
        <color indexed="8"/>
        <rFont val="Arial"/>
        <family val="2"/>
      </rPr>
      <t xml:space="preserve">the weighting is depending on the impact the industry has particularly on the adjacent environment
</t>
    </r>
  </si>
  <si>
    <t>argumentation: based on the sectors direct impact in the production phase on the planterary boundaries (studies and the use of quantitative models will be applied herefor)
sehr hoch: The sector has a major impact of various planetary boundaries</t>
  </si>
  <si>
    <t xml:space="preserve">A </t>
  </si>
  <si>
    <t>ist E3?</t>
  </si>
  <si>
    <t>the main impacts are in the production phase</t>
  </si>
  <si>
    <t xml:space="preserve">major direct impact on various planetary boundaries in the production (climate change, N/P-cycle, biodiversity, land-use-change) </t>
  </si>
  <si>
    <t xml:space="preserve">B </t>
  </si>
  <si>
    <t>major impact on eco-systems</t>
  </si>
  <si>
    <t xml:space="preserve">C </t>
  </si>
  <si>
    <t xml:space="preserve">Please note: This industry is very heterogen. </t>
  </si>
  <si>
    <t>Ca</t>
  </si>
  <si>
    <t>Cb</t>
  </si>
  <si>
    <t>Cc</t>
  </si>
  <si>
    <t>Cd</t>
  </si>
  <si>
    <t>Ce</t>
  </si>
  <si>
    <t>residues for some pharmaproducts critical</t>
  </si>
  <si>
    <t>Cf</t>
  </si>
  <si>
    <t>Cg</t>
  </si>
  <si>
    <t>Ch</t>
  </si>
  <si>
    <t xml:space="preserve">D </t>
  </si>
  <si>
    <t>major impact on climate change</t>
  </si>
  <si>
    <t xml:space="preserve">E </t>
  </si>
  <si>
    <t xml:space="preserve">F </t>
  </si>
  <si>
    <t>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</si>
  <si>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</si>
  <si>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</si>
  <si>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</si>
  <si>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</si>
  <si>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</si>
  <si>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</si>
  <si>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</si>
  <si>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</si>
  <si>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</si>
  <si>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</si>
  <si>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</si>
  <si>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</si>
  <si>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</si>
  <si>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t>
  </si>
  <si>
    <t xml:space="preserve">U </t>
  </si>
  <si>
    <t>Branche 1</t>
  </si>
  <si>
    <t>Branche 2</t>
  </si>
  <si>
    <t>Branche 3</t>
  </si>
  <si>
    <t>ÖKOLOGISCHE BRANCHENGEWICHTUNGEN</t>
  </si>
  <si>
    <t>SUPPLIERS AND EMPLOYEE WEIGHTING RATIO</t>
  </si>
  <si>
    <t>added value of suppliers (source: income statement)</t>
  </si>
  <si>
    <r>
      <rPr>
        <sz val="8"/>
        <color indexed="9"/>
        <rFont val="Arial"/>
        <family val="2"/>
      </rPr>
      <t xml:space="preserve">Splitted added value </t>
    </r>
    <r>
      <rPr>
        <sz val="8"/>
        <color indexed="60"/>
        <rFont val="Arial"/>
        <family val="2"/>
      </rPr>
      <t>(source¿?)</t>
    </r>
  </si>
  <si>
    <t>Country</t>
  </si>
  <si>
    <r>
      <rPr>
        <sz val="8"/>
        <color indexed="9"/>
        <rFont val="Arial"/>
        <family val="2"/>
      </rPr>
      <t xml:space="preserve">PPP index </t>
    </r>
    <r>
      <rPr>
        <sz val="8"/>
        <color indexed="60"/>
        <rFont val="Arial"/>
        <family val="2"/>
      </rPr>
      <t>(source¿?)</t>
    </r>
  </si>
  <si>
    <t>Added value adjusted</t>
  </si>
  <si>
    <t>Total</t>
  </si>
  <si>
    <t>%</t>
  </si>
  <si>
    <t>ITUC (average)</t>
  </si>
  <si>
    <t>nace</t>
  </si>
  <si>
    <t>ecol. Impact (A3)</t>
  </si>
  <si>
    <t>social impact (A1)</t>
  </si>
  <si>
    <t>Supplier 1</t>
  </si>
  <si>
    <t>Supplier 2</t>
  </si>
  <si>
    <t>Supplier 3</t>
  </si>
  <si>
    <t>Supplier 4</t>
  </si>
  <si>
    <t>Supplier 5</t>
  </si>
  <si>
    <t>Rest of suppliers</t>
  </si>
  <si>
    <t>Supply Chain Gewichtung</t>
  </si>
  <si>
    <t>Workers</t>
  </si>
  <si>
    <t xml:space="preserve">Please note that the boxes with a red frame have to be filled out. </t>
  </si>
  <si>
    <t>Purchasing Power Parity Tables</t>
  </si>
  <si>
    <t>Data Source</t>
  </si>
  <si>
    <t>Worldbank Data</t>
  </si>
  <si>
    <t>Last Updated Date</t>
  </si>
  <si>
    <t>2_2018</t>
  </si>
  <si>
    <t>http://data.worldbank.org/indicator/NY.GDP.MKTP.PP.CD</t>
  </si>
  <si>
    <t xml:space="preserve"> </t>
  </si>
  <si>
    <t>Country Code</t>
  </si>
  <si>
    <t>Country Name</t>
  </si>
  <si>
    <t>code</t>
  </si>
  <si>
    <t>Aruba</t>
  </si>
  <si>
    <t>est</t>
  </si>
  <si>
    <t>Americas</t>
  </si>
  <si>
    <t>ABW</t>
  </si>
  <si>
    <t>Afghanistan</t>
  </si>
  <si>
    <t>Asia</t>
  </si>
  <si>
    <t>AFG</t>
  </si>
  <si>
    <t>Angola</t>
  </si>
  <si>
    <t>Africa</t>
  </si>
  <si>
    <t>AGO</t>
  </si>
  <si>
    <t>Albania</t>
  </si>
  <si>
    <t>Europe</t>
  </si>
  <si>
    <t>ALB</t>
  </si>
  <si>
    <t>Andorra</t>
  </si>
  <si>
    <t>AND</t>
  </si>
  <si>
    <t>United Arab Emirates</t>
  </si>
  <si>
    <t>ARE</t>
  </si>
  <si>
    <t>Argentina</t>
  </si>
  <si>
    <t>ARG</t>
  </si>
  <si>
    <t>Armenia</t>
  </si>
  <si>
    <t>ARM</t>
  </si>
  <si>
    <t>American Samoa</t>
  </si>
  <si>
    <t>Oceania</t>
  </si>
  <si>
    <t>ASM</t>
  </si>
  <si>
    <t>Antigua and Barbuda</t>
  </si>
  <si>
    <t>ATG</t>
  </si>
  <si>
    <t>Australia</t>
  </si>
  <si>
    <t>AUS</t>
  </si>
  <si>
    <t>Austria</t>
  </si>
  <si>
    <t>AUT</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</si>
  <si>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</si>
  <si>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</si>
  <si>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</si>
  <si>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</si>
  <si>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</si>
  <si>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</si>
  <si>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</si>
  <si>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</si>
  <si>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</si>
  <si>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</si>
  <si>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</si>
  <si>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</si>
  <si>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</si>
  <si>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</si>
  <si>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</si>
  <si>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</si>
  <si>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</si>
  <si>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</si>
  <si>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</si>
  <si>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</si>
  <si>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</si>
  <si>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</si>
  <si>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</si>
  <si>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</si>
  <si>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</si>
  <si>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</si>
  <si>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</si>
  <si>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</si>
  <si>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</si>
  <si>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</si>
  <si>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</si>
  <si>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</si>
  <si>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</si>
  <si>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</si>
  <si>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</si>
  <si>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</si>
  <si>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</si>
  <si>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</si>
  <si>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</si>
  <si>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</si>
  <si>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</si>
  <si>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</si>
  <si>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</si>
  <si>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</si>
  <si>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Chile</t>
  </si>
  <si>
    <t>CHL</t>
  </si>
  <si>
    <t>China</t>
  </si>
  <si>
    <t>CHN</t>
  </si>
  <si>
    <t>Cote d'Ivoire</t>
  </si>
  <si>
    <t>CIV</t>
  </si>
  <si>
    <t>Cameroon</t>
  </si>
  <si>
    <t>CMR</t>
  </si>
  <si>
    <t>Congo, Dem. Rep.</t>
  </si>
  <si>
    <t>COD</t>
  </si>
  <si>
    <t>Congo, Rep.</t>
  </si>
  <si>
    <t>COG</t>
  </si>
  <si>
    <t>Colombia</t>
  </si>
  <si>
    <t>COL</t>
  </si>
  <si>
    <t>Comoros</t>
  </si>
  <si>
    <t>COM</t>
  </si>
  <si>
    <t>Cabo Verde</t>
  </si>
  <si>
    <t>CPV</t>
  </si>
  <si>
    <t>Costa Rica</t>
  </si>
  <si>
    <t>CRI</t>
  </si>
  <si>
    <t>Cuba</t>
  </si>
  <si>
    <t>CUB</t>
  </si>
  <si>
    <t>Curacao</t>
  </si>
  <si>
    <t>CUW</t>
  </si>
  <si>
    <t>Cayman Islands</t>
  </si>
  <si>
    <t>CYM</t>
  </si>
  <si>
    <t>Cyprus</t>
  </si>
  <si>
    <t>CYP</t>
  </si>
  <si>
    <t>Czech Republic</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</si>
  <si>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</si>
  <si>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</si>
  <si>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</si>
  <si>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</si>
  <si>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</si>
  <si>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</si>
  <si>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</si>
  <si>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</si>
  <si>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</si>
  <si>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</si>
  <si>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</si>
  <si>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</si>
  <si>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</si>
  <si>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</si>
  <si>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</si>
  <si>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</si>
  <si>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</si>
  <si>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</si>
  <si>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</si>
  <si>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</si>
  <si>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</si>
  <si>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</si>
  <si>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</si>
  <si>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</si>
  <si>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</si>
  <si>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</si>
  <si>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</si>
  <si>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</si>
  <si>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</si>
  <si>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</si>
  <si>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</si>
  <si>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</si>
  <si>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</si>
  <si>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</si>
  <si>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</si>
  <si>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</si>
  <si>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</si>
  <si>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</si>
  <si>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</si>
  <si>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</si>
  <si>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</si>
  <si>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</si>
  <si>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</si>
  <si>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</si>
  <si>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</si>
  <si>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</si>
  <si>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</si>
  <si>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</si>
  <si>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</si>
  <si>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</si>
  <si>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</si>
  <si>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</si>
  <si>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</si>
  <si>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</si>
  <si>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</si>
  <si>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</si>
  <si>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</si>
  <si>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</si>
  <si>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</si>
  <si>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</si>
  <si>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</si>
  <si>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</si>
  <si>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</si>
  <si>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</si>
  <si>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</si>
  <si>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</si>
  <si>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</si>
  <si>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</si>
  <si>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</si>
  <si>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</si>
  <si>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</si>
  <si>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</si>
  <si>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</si>
  <si>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</si>
  <si>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</si>
  <si>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</si>
  <si>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</si>
  <si>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</si>
  <si>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</si>
  <si>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</si>
  <si>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</si>
  <si>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</si>
  <si>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</si>
  <si>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</si>
  <si>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</si>
  <si>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</si>
  <si>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</si>
  <si>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</si>
  <si>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</si>
  <si>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</si>
  <si>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</si>
  <si>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</si>
  <si>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</si>
  <si>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</si>
  <si>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</si>
  <si>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</si>
  <si>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</si>
  <si>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</si>
  <si>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</si>
  <si>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</si>
  <si>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</si>
  <si>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</si>
  <si>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</si>
  <si>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</si>
  <si>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</si>
  <si>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</si>
  <si>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</si>
  <si>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</si>
  <si>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</si>
  <si>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</si>
  <si>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</si>
  <si>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</si>
  <si>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</si>
  <si>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</si>
  <si>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</si>
  <si>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</si>
  <si>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</si>
  <si>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</si>
  <si>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</si>
  <si>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</si>
  <si>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</si>
  <si>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</si>
  <si>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</si>
  <si>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</si>
  <si>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</si>
  <si>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</si>
  <si>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</si>
  <si>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</si>
  <si>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</si>
  <si>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</si>
  <si>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</si>
  <si>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</si>
  <si>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</si>
  <si>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</si>
  <si>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</si>
  <si>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</si>
  <si>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</si>
  <si>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</si>
  <si>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</si>
  <si>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</si>
  <si>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</si>
  <si>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</si>
  <si>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</si>
  <si>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</si>
  <si>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</si>
  <si>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</si>
  <si>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</si>
  <si>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</si>
  <si>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</si>
  <si>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</si>
  <si>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</si>
  <si>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</si>
  <si>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</si>
  <si>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</si>
  <si>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</si>
  <si>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Macedonia, FYR</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</si>
  <si>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</si>
  <si>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</si>
  <si>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</si>
  <si>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</si>
  <si>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</si>
  <si>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</si>
  <si>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</si>
  <si>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</si>
  <si>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</si>
  <si>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</si>
  <si>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</si>
  <si>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</si>
  <si>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</si>
  <si>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</si>
  <si>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</si>
  <si>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</si>
  <si>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</si>
  <si>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</si>
  <si>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</si>
  <si>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</si>
  <si>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</si>
  <si>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</si>
  <si>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</si>
  <si>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</si>
  <si>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</si>
  <si>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</si>
  <si>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</si>
  <si>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</si>
  <si>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</si>
  <si>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</si>
  <si>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</si>
  <si>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</si>
  <si>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</si>
  <si>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</si>
  <si>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</si>
  <si>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</si>
  <si>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</si>
  <si>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</si>
  <si>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</si>
  <si>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</si>
  <si>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</si>
  <si>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</si>
  <si>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</si>
  <si>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</si>
  <si>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</si>
  <si>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</si>
  <si>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</si>
  <si>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</si>
  <si>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</si>
  <si>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</si>
  <si>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</si>
  <si>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</si>
  <si>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</si>
  <si>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</si>
  <si>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</si>
  <si>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</si>
  <si>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</si>
  <si>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</si>
  <si>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</si>
  <si>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</si>
  <si>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</si>
  <si>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</si>
  <si>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</si>
  <si>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</si>
  <si>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</si>
  <si>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</si>
  <si>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</si>
  <si>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</si>
  <si>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</si>
  <si>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</si>
  <si>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</si>
  <si>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</si>
  <si>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</si>
  <si>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</si>
  <si>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</si>
  <si>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</si>
  <si>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</si>
  <si>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</si>
  <si>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</si>
  <si>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</si>
  <si>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</si>
  <si>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</si>
  <si>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</si>
  <si>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</si>
  <si>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</si>
  <si>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</si>
  <si>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</si>
  <si>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</si>
  <si>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</si>
  <si>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</si>
  <si>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</si>
  <si>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</si>
  <si>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</si>
  <si>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</si>
  <si>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</si>
  <si>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</si>
  <si>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</si>
  <si>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</si>
  <si>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</si>
  <si>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</si>
  <si>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</si>
  <si>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Sao Tome and Principe</t>
  </si>
  <si>
    <t>STP</t>
  </si>
  <si>
    <t>Suriname</t>
  </si>
  <si>
    <t>SUR</t>
  </si>
  <si>
    <t>Slovak Republic</t>
  </si>
  <si>
    <t>SVK</t>
  </si>
  <si>
    <t>Slovenia</t>
  </si>
  <si>
    <t>SVN</t>
  </si>
  <si>
    <t>Sweden</t>
  </si>
  <si>
    <t>SWE</t>
  </si>
  <si>
    <t>Swaziland</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</si>
  <si>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</si>
  <si>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</si>
  <si>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</si>
  <si>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</si>
  <si>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</si>
  <si>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</si>
  <si>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</si>
  <si>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</si>
  <si>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</si>
  <si>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</si>
  <si>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</si>
  <si>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</si>
  <si>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</si>
  <si>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</si>
  <si>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</si>
  <si>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</si>
  <si>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</si>
  <si>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</si>
  <si>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</si>
  <si>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</si>
  <si>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</si>
  <si>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</si>
  <si>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</si>
  <si>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</si>
  <si>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</si>
  <si>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</si>
  <si>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</si>
  <si>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Turkey</t>
  </si>
  <si>
    <t>TUR</t>
  </si>
  <si>
    <t>Tuvalu</t>
  </si>
  <si>
    <t>TUV</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</si>
  <si>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</si>
  <si>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</si>
  <si>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</si>
  <si>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</si>
  <si>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</si>
  <si>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</si>
  <si>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</si>
  <si>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</si>
  <si>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</si>
  <si>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</si>
  <si>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</si>
  <si>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</si>
  <si>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</si>
  <si>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</si>
  <si>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</si>
  <si>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</si>
  <si>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</si>
  <si>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</si>
  <si>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</si>
  <si>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</si>
  <si>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</si>
  <si>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</si>
  <si>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</si>
  <si>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</si>
  <si>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</si>
  <si>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</si>
  <si>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</si>
  <si>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</si>
  <si>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</si>
  <si>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</si>
  <si>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</si>
  <si>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</si>
  <si>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</si>
  <si>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</si>
  <si>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</si>
  <si>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</si>
  <si>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Average Africa</t>
  </si>
  <si>
    <t>Average Americas</t>
  </si>
  <si>
    <t>Average Asia</t>
  </si>
  <si>
    <t>Average Europe</t>
  </si>
  <si>
    <t>Average Oceania</t>
  </si>
  <si>
    <t>World</t>
  </si>
  <si>
    <t>Deutsch</t>
  </si>
  <si>
    <t>Italiano</t>
  </si>
  <si>
    <t>English</t>
  </si>
  <si>
    <t>Español</t>
  </si>
  <si>
    <t>Francais</t>
  </si>
  <si>
    <t>GEMEINWOHL-RECHNER</t>
  </si>
  <si>
    <t>Calcolatore del Bene Comune</t>
  </si>
  <si>
    <t>BALANCE SHEET CALCULATOR</t>
  </si>
  <si>
    <t>CALCULADORA DEL BIEN COMÚN</t>
  </si>
  <si>
    <t>© GWÖ</t>
  </si>
  <si>
    <t>© Economia del Bene Comune</t>
  </si>
  <si>
    <t>© ECG</t>
  </si>
  <si>
    <t>© Economía del Bien Común</t>
  </si>
  <si>
    <t>Version</t>
  </si>
  <si>
    <t>Versione</t>
  </si>
  <si>
    <t>Versión</t>
  </si>
  <si>
    <t>HERZLICH WILLKOMMEN!</t>
  </si>
  <si>
    <t>Benvenuto!</t>
  </si>
  <si>
    <t>WELCOME!</t>
  </si>
  <si>
    <t>¡Bienvenid@!</t>
  </si>
  <si>
    <t>Dieses Tool dient zur Berechnung der Gemeinwohl-Punkte Ihres Unternehmens. Es ist eine Ergänzung zum Gemeinwohlbericht und muss gemeinsam mit diesem genutzt werden.  Wir wünschen gutes Gelingen!</t>
  </si>
  <si>
    <t>Può utilizzare questo strumento per calcolare i punti del bene comune della sua impresa. Serve quale completamento alla relazione del bene comune e deve essere utilizzato assieme a questo.
Le auguriamo buon divertimento in questa attività di calcolo!</t>
  </si>
  <si>
    <t>This tool is for calculating the overall Common Good Points for your company or organisation. It complements the Common Good Report and has to be used together with it. Have fun with your calculation!</t>
  </si>
  <si>
    <t>Esta herramienta sirve para calcular la puntuación de su empresa de acuerdo al balance del Bien Común. Esta hoja de cálculo es complementaria al informe del Bien Común y debe utilizarse por tanto conjuntamente. ¡Buena suerte!</t>
  </si>
  <si>
    <t>WIE SIE DEN BILANZ-RECHNER RICHTIG VERWENDEN:</t>
  </si>
  <si>
    <t>Come utilizzare correttamente il calcolatore del bilancio:</t>
  </si>
  <si>
    <t>HOW TO USE THE BALANCE SHEET CALCULATOR:</t>
  </si>
  <si>
    <t>Cómo utilizar la calculadora del Bien Común correctamente</t>
  </si>
  <si>
    <t>1. Allgemeines</t>
  </si>
  <si>
    <t>1. Generale</t>
  </si>
  <si>
    <t>1. General</t>
  </si>
  <si>
    <t>Hier können Sie allgemeinen Angaben zu Ihrem Unternehmen machen.</t>
  </si>
  <si>
    <t>Qui può indicare tutte le informazioni e dati della sua impresa</t>
  </si>
  <si>
    <t>You can enter general information about your company or organisation in this section.</t>
  </si>
  <si>
    <t>En esta hoja puedes introducir información general sobre tu organización o empresa</t>
  </si>
  <si>
    <t xml:space="preserve">Hier müssen alle geforderten Kenngrößen eingetragen werden, da diese für die Gewichtung der Themen essentiell sind. </t>
  </si>
  <si>
    <t>Qui devono essere inseriti tutti i parametri richiesti, poiché questi sono essenziali per la ponderazione degli argomenti.</t>
  </si>
  <si>
    <t>All fields in this section must be completed as they are essential for the weighting of each theme.</t>
  </si>
  <si>
    <t>En esta hoja debes introducir todos los datos requeridos, pues el cálculo de la ponderación depende de ellos</t>
  </si>
  <si>
    <t>Für jedes Thema (A1, B1, ...) kann eine bestimmte Anzahl an Gemeinwohl-Punkten erreicht werden. Um zu ermitteln, wie viele davon Ihr Unternehmen erhält, gehen Sie wie folgt vor:</t>
  </si>
  <si>
    <t>Per ogni tema (A1, B1, ...) può essere raggiunto un determinate valore di punteggio del bene comune. Per ricavare, che punteggio ottiene la Sua impresa proceda nel modo seguente:</t>
  </si>
  <si>
    <t>For each theme (A1, B1, ...) a certain maximum number of Common Good Points can be achieved. To evaluate how many points your company scores, follow these steps:</t>
  </si>
  <si>
    <t>Para cada tema (A1, B1, …) puede obtenerse una puntuación determinada. Para calcular cuál obtiene su empresa, siga los pasos siguientes:</t>
  </si>
  <si>
    <r>
      <rPr>
        <sz val="11"/>
        <color indexed="8"/>
        <rFont val="Calibri"/>
        <family val="2"/>
      </rPr>
      <t>Beschreiben Sie auf Basis des Arbeitsbuchs in wenigen Stichworten</t>
    </r>
    <r>
      <rPr>
        <b/>
        <sz val="11"/>
        <color indexed="8"/>
        <rFont val="Calibri"/>
        <family val="2"/>
      </rPr>
      <t xml:space="preserve"> Ist-Zustand und Verbesserungspotenzial</t>
    </r>
    <r>
      <rPr>
        <sz val="11"/>
        <color indexed="8"/>
        <rFont val="Calibri"/>
        <family val="2"/>
      </rPr>
      <t xml:space="preserve"> für die verschiedenen Aspekte (optional, ist für die Berechnung nicht unbedingt notwendig).</t>
    </r>
  </si>
  <si>
    <t>Descrivi sulla base del libro di esercizi in poche parole chiave lo stato attuale e il potenziale di miglioramento per i diversi aspetti (facoltativo, non è assolutamente necessario per il calcolo).</t>
  </si>
  <si>
    <t>Describe the current status and potential for improvement for the various aspects under key headings. Use the workbook as a reference. (This is optional and not absolutely necessary for the calculation.)</t>
  </si>
  <si>
    <t>Describa en pocas palabras, de acuerdo al manual del Balance del Bien Común, cuál es el estado actual y el potencial de mejora para cada uno de los aspectos (opcional, no es necesario para el cálculo de la puntuación).</t>
  </si>
  <si>
    <t>Geben Sie - aufbauend auf diesen Beschreibungen - an, entsprechend welchem Skalenwert (0-10) Ihrer Meinung nach der jeweilige Aspekt erfüllt ist (Spalte "Erfüllungsgrad"). Anhaltspunkte zur Wahl des "richtigen" Skalenwerts finden Sie wiederum im Arbeitsbuch.</t>
  </si>
  <si>
    <t>In base a queste descrizioni, indica in base a quale valore di scala (0-10) pensi che il rispettivo aspetto sia soddisfatto (colonna "grado di realizzazione"). Troverete indizi per scegliere il valore di scala "corretto" nella cartella di lavoro.</t>
  </si>
  <si>
    <t>Based on these descriptions, indicate on a scale of 0-10 how far you consider the respective aspect is met (Achievement level). The criteria for choosing the correct value can be found in the Workbook.</t>
  </si>
  <si>
    <t>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</si>
  <si>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</si>
  <si>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Per la valutazione degli aspetti negativi si indicano i valori dei punti in base alle descrizioni nel manuale.</t>
  </si>
  <si>
    <t>Negative aspects are allocated negative points according to the descriptions set out in the Workbook.</t>
  </si>
  <si>
    <t>Para aportar una puntuación a cada uno de los aspectos negativos utilice las indicaciones del manual.</t>
  </si>
  <si>
    <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</si>
  <si>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</si>
  <si>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</si>
  <si>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</si>
  <si>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indexed="8"/>
        <rFont val="Calibri"/>
        <family val="2"/>
      </rPr>
      <t xml:space="preserve">Bei der Berechnung werden die Gesamtwerte pro Thema automatisch entsprechend der Angaben im Faktenblatt </t>
    </r>
    <r>
      <rPr>
        <b/>
        <sz val="11"/>
        <color indexed="8"/>
        <rFont val="Calibri"/>
        <family val="2"/>
      </rPr>
      <t>gewichtet</t>
    </r>
    <r>
      <rPr>
        <sz val="11"/>
        <color indexed="8"/>
        <rFont val="Calibri"/>
        <family val="2"/>
      </rPr>
      <t xml:space="preserve"> und auf ganzzahlige Vielfache von 10% </t>
    </r>
    <r>
      <rPr>
        <b/>
        <sz val="11"/>
        <color indexed="8"/>
        <rFont val="Calibri"/>
        <family val="2"/>
      </rPr>
      <t>gerundet</t>
    </r>
    <r>
      <rPr>
        <sz val="11"/>
        <color indexed="8"/>
        <rFont val="Calibri"/>
        <family val="2"/>
      </rPr>
      <t>.</t>
    </r>
  </si>
  <si>
    <t>Nel calcolo, i totali per argomento vengono automaticamente ponderati in base alla scheda informativa e arrotondati ai multipli interi del 10%.</t>
  </si>
  <si>
    <t>The calculation automatically weights each theme’s total value against the data in the ‘Company details’ section and rounds it to a whole-number multiple of 10%.</t>
  </si>
  <si>
    <t>Los valores introducidos son ponderados de acuerdo a los datos introducidos en la hoja 2. Company Facts. El resultado es redondeado y presentado como número entero.</t>
  </si>
  <si>
    <t>Die "GW-Matrix" bietet einen tabellarischen Überblick über Ihr Ergebnis.</t>
  </si>
  <si>
    <t>La "matrice EBC" fornisce una panoramica tabellare del risultato.</t>
  </si>
  <si>
    <t>The ECG-Matrix displays your result in a table.</t>
  </si>
  <si>
    <t>La hoja “ECG-Matrix” muestra los resultados en una tabla resumen.</t>
  </si>
  <si>
    <r>
      <rPr>
        <sz val="11"/>
        <color indexed="8"/>
        <rFont val="Calibri"/>
        <family val="2"/>
      </rPr>
      <t xml:space="preserve">Die "GW-Matrix" bietet einen </t>
    </r>
    <r>
      <rPr>
        <b/>
        <sz val="11"/>
        <color indexed="8"/>
        <rFont val="Calibri"/>
        <family val="2"/>
      </rPr>
      <t>tabellarischen Blick auf Ihr Ergebnis</t>
    </r>
    <r>
      <rPr>
        <sz val="11"/>
        <color indexed="8"/>
        <rFont val="Calibri"/>
        <family val="2"/>
      </rPr>
      <t>.</t>
    </r>
  </si>
  <si>
    <t>La "matrice EBC" offre una vista tabellare del risultato.</t>
  </si>
  <si>
    <t>The ECG Matrix displays your result in a table.</t>
  </si>
  <si>
    <t>La hoja “ECG-Matrix” muestra los resultados de la puntuación presentando una vista general en forma de matriz (tabla).</t>
  </si>
  <si>
    <r>
      <rPr>
        <sz val="11"/>
        <color indexed="8"/>
        <rFont val="Calibri"/>
        <family val="2"/>
      </rPr>
      <t xml:space="preserve">Der "Werte-Stern" zeigt schließlich Ihr </t>
    </r>
    <r>
      <rPr>
        <b/>
        <sz val="11"/>
        <color indexed="8"/>
        <rFont val="Calibri"/>
        <family val="2"/>
      </rPr>
      <t>Ergebnis nach Werten gegliedert</t>
    </r>
    <r>
      <rPr>
        <sz val="11"/>
        <color indexed="8"/>
        <rFont val="Calibri"/>
        <family val="2"/>
      </rPr>
      <t xml:space="preserve"> in graphischer Form.</t>
    </r>
  </si>
  <si>
    <t>La "stella dei valori" mostra infine il risultato in base a valori strutturati in forma grafica.</t>
  </si>
  <si>
    <t>The values-star displays your result arranged by value as a graphic.</t>
  </si>
  <si>
    <t>La hoja “Values” muestra un diagrama de araña en el que se muestran las puntuaciones según “valor” o columna de la matriz.</t>
  </si>
  <si>
    <r>
      <rPr>
        <sz val="11"/>
        <color indexed="8"/>
        <rFont val="Calibri"/>
        <family val="2"/>
      </rPr>
      <t xml:space="preserve">Der "Gruppen-Stern" zeigt schließlich Ihr </t>
    </r>
    <r>
      <rPr>
        <b/>
        <sz val="11"/>
        <color indexed="8"/>
        <rFont val="Calibri"/>
        <family val="2"/>
      </rPr>
      <t>Ergebnis nach Berührungsgruppen</t>
    </r>
    <r>
      <rPr>
        <sz val="11"/>
        <color indexed="8"/>
        <rFont val="Calibri"/>
        <family val="2"/>
      </rPr>
      <t xml:space="preserve"> gegliedert in graphischer Form.</t>
    </r>
  </si>
  <si>
    <t>La "stella dei gruppi" mostra infine il risultato in base a gruppi d’interesse  strutturati in forma grafica.</t>
  </si>
  <si>
    <t>The group-star displays your result arranged by stakeholder as a graphic.</t>
  </si>
  <si>
    <t>La hoja “Stakeholders” muestra un diagrama de araña en el que se muestran las puntuaciones según “grupo de interés” o fila de la matriz.</t>
  </si>
  <si>
    <r>
      <rPr>
        <sz val="11"/>
        <color indexed="8"/>
        <rFont val="Calibri"/>
        <family val="2"/>
      </rPr>
      <t>Der "Themen-Stern" zeigt schließlich Ihr Ergebnis in</t>
    </r>
    <r>
      <rPr>
        <b/>
        <sz val="11"/>
        <color indexed="8"/>
        <rFont val="Calibri"/>
        <family val="2"/>
      </rPr>
      <t xml:space="preserve"> allen Themen in graphischer Form</t>
    </r>
    <r>
      <rPr>
        <sz val="11"/>
        <color indexed="8"/>
        <rFont val="Calibri"/>
        <family val="2"/>
      </rPr>
      <t>.</t>
    </r>
  </si>
  <si>
    <t>La "stella dei temi" mostra finalmente il risultato in tutti i temi in forma grafica.</t>
  </si>
  <si>
    <t>The theme-star displays the result of your themes as a graphic.</t>
  </si>
  <si>
    <t>La hoja “Topics” muestra un diagrama de araña en el que se muestran las puntuaciones de cada tema.</t>
  </si>
  <si>
    <r>
      <rPr>
        <sz val="11"/>
        <color indexed="8"/>
        <rFont val="Calibri"/>
        <family val="2"/>
      </rPr>
      <t xml:space="preserve">Hier finden Sie eine </t>
    </r>
    <r>
      <rPr>
        <b/>
        <sz val="11"/>
        <color indexed="8"/>
        <rFont val="Calibri"/>
        <family val="2"/>
      </rPr>
      <t>Beschreibung der Gewichtungsmodelles</t>
    </r>
    <r>
      <rPr>
        <sz val="11"/>
        <color indexed="8"/>
        <rFont val="Calibri"/>
        <family val="2"/>
      </rPr>
      <t xml:space="preserve">. </t>
    </r>
  </si>
  <si>
    <t>Qui potete trovare una descrizione del modello di ponderazione.</t>
  </si>
  <si>
    <t>This is a description of the weighting model.</t>
  </si>
  <si>
    <t>En la hoja “Descr. Weighting” se encuentra una descripción del método de ponderación.</t>
  </si>
  <si>
    <r>
      <rPr>
        <sz val="11"/>
        <color indexed="8"/>
        <rFont val="Calibri"/>
        <family val="2"/>
      </rPr>
      <t xml:space="preserve">Hier erfolgt die </t>
    </r>
    <r>
      <rPr>
        <b/>
        <sz val="11"/>
        <color indexed="8"/>
        <rFont val="Calibri"/>
        <family val="2"/>
      </rPr>
      <t>Berechnung wie die einzelnen Berührungsgruppen und Themen gewichtet werden</t>
    </r>
    <r>
      <rPr>
        <sz val="11"/>
        <color indexed="8"/>
        <rFont val="Calibri"/>
        <family val="2"/>
      </rPr>
      <t>.</t>
    </r>
  </si>
  <si>
    <t>Qui il calcolo avviene come vengono pesati i singoli gruppi d’interesse ed i temi.</t>
  </si>
  <si>
    <t>This is where the calculation determines how the individual stakeholder groups and themes are weighted.</t>
  </si>
  <si>
    <t>En la hoja “Weighting” se realiza el cálculo para las ponderaciones de los grupos de interés y temas.</t>
  </si>
  <si>
    <r>
      <rPr>
        <sz val="11"/>
        <color indexed="8"/>
        <rFont val="Calibri"/>
        <family val="2"/>
      </rPr>
      <t xml:space="preserve">Enthält Einschätzungen der Relevanz von Zulieferkette und ökologische Nachhaltigkeit für alle </t>
    </r>
    <r>
      <rPr>
        <b/>
        <sz val="11"/>
        <color indexed="8"/>
        <rFont val="Calibri"/>
        <family val="2"/>
      </rPr>
      <t>Branchen,</t>
    </r>
    <r>
      <rPr>
        <sz val="11"/>
        <color indexed="8"/>
        <rFont val="Calibri"/>
        <family val="2"/>
      </rPr>
      <t xml:space="preserve">, die für die Gewichtung herangezogen werden. </t>
    </r>
  </si>
  <si>
    <t>Include stime della dell'importanza della rete dei fornitori e della sostenibilità ambientale per tutti i settori utilizzati per la ponderazione.</t>
  </si>
  <si>
    <t>This contains an assessment of the relevance of supply chains and environmental sustainability for all industry sectors, used in the weighting.</t>
  </si>
  <si>
    <t>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</si>
  <si>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</si>
  <si>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Contiene statistiche per paesi e regioni utilizzati per la ponderazione.</t>
  </si>
  <si>
    <t>This contains statistics for countries and regions used in the weighting.</t>
  </si>
  <si>
    <t>Esta hoja contiene estadísticas de países y regiones que son utilizadas para realizar las ponderaciones.</t>
  </si>
  <si>
    <t>2. Fakten zum Unternehmen</t>
  </si>
  <si>
    <t>2. Fatti sull'impresa</t>
  </si>
  <si>
    <t>2. Company details</t>
  </si>
  <si>
    <t>2. Datos de la empresa</t>
  </si>
  <si>
    <t>3. Berechnung</t>
  </si>
  <si>
    <t>3. calcolo</t>
  </si>
  <si>
    <t>3. Scoring</t>
  </si>
  <si>
    <t>3. Cálculo</t>
  </si>
  <si>
    <t>4. GW-Matrix</t>
  </si>
  <si>
    <t>4. matrice del bene comune</t>
  </si>
  <si>
    <t>4. ECG Matrix</t>
  </si>
  <si>
    <t>4. Matriz EBC</t>
  </si>
  <si>
    <t>5. Werte-Stern</t>
  </si>
  <si>
    <t>5. valori stella</t>
  </si>
  <si>
    <t>5. Values star</t>
  </si>
  <si>
    <t>5. Diagrama valores</t>
  </si>
  <si>
    <t>6. Gruppen-Stern</t>
  </si>
  <si>
    <t>6. gruppi stella</t>
  </si>
  <si>
    <t>6. Group star</t>
  </si>
  <si>
    <t>6. Diagrama grupos de interés</t>
  </si>
  <si>
    <t>7. Themen-Stern</t>
  </si>
  <si>
    <t>7. argomenti stella</t>
  </si>
  <si>
    <t>7. Theme star</t>
  </si>
  <si>
    <t>7. Diagrama temas</t>
  </si>
  <si>
    <t>8. Beschreibung Gewichtungsmodell</t>
  </si>
  <si>
    <t>8. Modello di ponderazione della descrizione</t>
  </si>
  <si>
    <t>8. Weighting model description</t>
  </si>
  <si>
    <t>8. Descripción del método de ponderación</t>
  </si>
  <si>
    <t>9. Gewichtung (ausgeblendet)</t>
  </si>
  <si>
    <t>9. Ponderazione (nascosta)</t>
  </si>
  <si>
    <t>9. Weighting (hidden)</t>
  </si>
  <si>
    <t>9. Ponderación (oculta)</t>
  </si>
  <si>
    <t>10. Branchen (ausgeblendet)</t>
  </si>
  <si>
    <t>10. Settori (nascosti)</t>
  </si>
  <si>
    <t>10. Industry sectors (hidden)</t>
  </si>
  <si>
    <t>10. Sectores (oculta)</t>
  </si>
  <si>
    <t>11. Länder und Regionen (ausgeblendet)</t>
  </si>
  <si>
    <t>11. Paesi e regioni (nascosti)</t>
  </si>
  <si>
    <t>11. Countries (hidden)</t>
  </si>
  <si>
    <t>11. Países y regiones (oculta)</t>
  </si>
  <si>
    <t>LEGENDE</t>
  </si>
  <si>
    <t>LEGENDA</t>
  </si>
  <si>
    <t>KEY</t>
  </si>
  <si>
    <t>LEYENDA</t>
  </si>
  <si>
    <t>Feld ist beschreibbar (grüner Rahmen, dunkelgrüne Schrift)</t>
  </si>
  <si>
    <t>Il campo è descrivibile (cornici nere, scritta verde scuro)</t>
  </si>
  <si>
    <t>Field is editable (green frame, dark green text)</t>
  </si>
  <si>
    <t>Celda editable (borde verde, letra verde oscura)</t>
  </si>
  <si>
    <t>Feld ist nicht beschreibbar (grauer Rahmen, dunkelgraue Schrift)</t>
  </si>
  <si>
    <t>Il campo non è descrivibile (cornice grigia, scritta grigio scuro)</t>
  </si>
  <si>
    <t>Feld is read-only (grey frame, dark grey text)</t>
  </si>
  <si>
    <t>Celda protegida (borde gris, letra gris oscura)</t>
  </si>
  <si>
    <t>unerlaubter Wert eingegeben (zur korrekten Berechnung Wert ändern)</t>
  </si>
  <si>
    <t>È stato inserito un valore non permesso (per un calcolo corretto cambiare valore)</t>
  </si>
  <si>
    <t>non valid value entry (for correct calculation change value)</t>
  </si>
  <si>
    <t>Valor erróneo (cambie el valor para realizar un cálculo correcto)</t>
  </si>
  <si>
    <t>ja</t>
  </si>
  <si>
    <t>si</t>
  </si>
  <si>
    <t>yes</t>
  </si>
  <si>
    <t>Sí</t>
  </si>
  <si>
    <t>nein</t>
  </si>
  <si>
    <t>no</t>
  </si>
  <si>
    <t>No</t>
  </si>
  <si>
    <t>KONTAKT</t>
  </si>
  <si>
    <t>CONTATTO</t>
  </si>
  <si>
    <t>CONTACT</t>
  </si>
  <si>
    <t>CONTACTO</t>
  </si>
  <si>
    <t>Fragen zur Bilanz-Erstellung: beratung@gemeinwohl-oekonomie.org (GWÖ-BeraterInnen);</t>
  </si>
  <si>
    <t>Domande per il bilancio: info@economia-del-ben-comune.it (consulenti EBC)</t>
  </si>
  <si>
    <t>Questions regarding preparation of balance sheet:
beratung@gemeinwohl-oekonomie.org (GWÖ-BeraterInnen);</t>
  </si>
  <si>
    <t>Preguntas sobre como elaborar el balance del Bien Común: nodo-empresas@economia-del-bien-comun.es</t>
  </si>
  <si>
    <t>Fragen zur Auditierung: audit@gemeinwohl-oekonomie.org (GWÖ-AuditorInnen);</t>
  </si>
  <si>
    <t>Domande per l'audit: audit@febc.eu (Verificatori/auditori EBC)</t>
  </si>
  <si>
    <t>Questions regarding audit: audit@gemeinwohl-oekonomie.org (GWÖ-AuditorInnen);</t>
  </si>
  <si>
    <t>Preguntas sobre la auditoría: nodo-empresas@economia-del-bien-comun.es</t>
  </si>
  <si>
    <r>
      <rPr>
        <sz val="11"/>
        <color indexed="8"/>
        <rFont val="Calibri"/>
        <family val="2"/>
      </rPr>
      <t xml:space="preserve">Weiterentwicklung der Matrix: </t>
    </r>
    <r>
      <rPr>
        <u/>
        <sz val="11"/>
        <color indexed="8"/>
        <rFont val="Calibri"/>
        <family val="2"/>
      </rPr>
      <t>bilanz@ecogood.org</t>
    </r>
    <r>
      <rPr>
        <sz val="11"/>
        <color indexed="8"/>
        <rFont val="Calibri"/>
        <family val="2"/>
      </rPr>
      <t xml:space="preserve"> (GWÖ-Matrix Entwicklungsteam);</t>
    </r>
  </si>
  <si>
    <t>Feedback on the development of the Matrix: bilanz@ecogood.org (Matrix Development Team)</t>
  </si>
  <si>
    <t>Desarrollo de la matriz: bilanz@ecogood.org (Equipo de desarrollo de la matriz EBC)</t>
  </si>
  <si>
    <t>Excel-Programmierung: Christian Loy (christian.loy@gmx.at); Christian Kozina; Multilanguage-tool: Bernhard Oberrauch</t>
  </si>
  <si>
    <t>Programmazione Excel: Christian Loy (christian.loy@gmx.at); Christian Kozina; Multilanguage-tool: Bernhard Oberrauch (info@a-bo.net)</t>
  </si>
  <si>
    <t>Excel programming: Christian Loy (christian.loy@gmx.at); Christian Kozina; Multilanguage tool: Bernhard Oberrauch</t>
  </si>
  <si>
    <t>Programación en Excel: Christian Loy (christian.loy@gmx.at);Christian Kozina; Multilanguage-tool: Bernhard Oberrauch</t>
  </si>
  <si>
    <t>Inhalte: GWÖ-Matrix Entwicklungsteam</t>
  </si>
  <si>
    <t>Contents: ECG-Matrix Development Team</t>
  </si>
  <si>
    <t>Contenido: Equipo de desarrollo de la matriz EBC</t>
  </si>
  <si>
    <t>ANMERKUNGEN</t>
  </si>
  <si>
    <t>ANNOTAZIONI</t>
  </si>
  <si>
    <t>NOTES</t>
  </si>
  <si>
    <t>NOTAS ACLARATORIAS</t>
  </si>
  <si>
    <t>Alle Tabellen sind optimiert für den Ausdruck auf A4 (Hoch- oder Querformat).
Die Höhe der Zeilen ist veränderbar, falls Sie mehr Text eingeben wollen.</t>
  </si>
  <si>
    <t>Tutte le tabelle sono ottimizzate per la stampa in A4 (verticale o orizzontale).
L’Altezza delle celle è modificabile, nel caso Lei dovesse inserire più testo.</t>
  </si>
  <si>
    <t>ALLGEMEINE ANGABEN ZUM UNTERNEHMEN</t>
  </si>
  <si>
    <t>Dati dell'impresa</t>
  </si>
  <si>
    <t>GENERAL INFORMATION ABOUT THE COMPANY</t>
  </si>
  <si>
    <t>INFORMACIÓN GENERAL SOBRE LA EMPRESA</t>
  </si>
  <si>
    <t>Bitte vollständig ausfüllen!</t>
  </si>
  <si>
    <t>Per favore compili completamente!</t>
  </si>
  <si>
    <t>Please complete all fields.</t>
  </si>
  <si>
    <t>Por favor introduzca todos los datos</t>
  </si>
  <si>
    <t>Name des Unternehmens:</t>
  </si>
  <si>
    <t>Nome dell'impresa:</t>
  </si>
  <si>
    <t>Name of Company / Organisation:</t>
  </si>
  <si>
    <t>Nombre de la empresa:</t>
  </si>
  <si>
    <t>Anschrift:</t>
  </si>
  <si>
    <t>Indirizzo:</t>
  </si>
  <si>
    <t>Address:</t>
  </si>
  <si>
    <t>Dirección:</t>
  </si>
  <si>
    <t>Staat:</t>
  </si>
  <si>
    <t>Stato:</t>
  </si>
  <si>
    <t>Country:</t>
  </si>
  <si>
    <t>Estado:</t>
  </si>
  <si>
    <t>Branche:</t>
  </si>
  <si>
    <t>Settore:</t>
  </si>
  <si>
    <t>Industry sector:</t>
  </si>
  <si>
    <t>Sector:</t>
  </si>
  <si>
    <t>Website:</t>
  </si>
  <si>
    <t>Sito web:</t>
  </si>
  <si>
    <t>Página web:</t>
  </si>
  <si>
    <t>Anzahl der MitarbeiterInnen:</t>
  </si>
  <si>
    <t>Presenza adetti</t>
  </si>
  <si>
    <t>Number of employees</t>
  </si>
  <si>
    <t>Número de trabajadores:</t>
  </si>
  <si>
    <t>Ein-Personen-Unternehmen:</t>
  </si>
  <si>
    <t>Impresa "di un collabpratore":</t>
  </si>
  <si>
    <t>Sole trader (ST) (or single-person)</t>
  </si>
  <si>
    <t>Empresas unipersonales:</t>
  </si>
  <si>
    <t>(Hinweis: Wenn ja, werden die für EPUs gültigen Werte automatisch in die Berechnung übernommen.)</t>
  </si>
  <si>
    <t>(Attenzione: se la risposta è si, I valori validi per l’impresa individuale vengono accettati automaticamente nel calcolo.)</t>
  </si>
  <si>
    <t>(Note: If yes, the values for STs will be filled in automatically for the calculation)</t>
  </si>
  <si>
    <t>(Nota: si introduce sí, entonces se aplican algunos valores automáticos en la ponderación)</t>
  </si>
  <si>
    <t>Bilanzjahr:</t>
  </si>
  <si>
    <t>bilancio anno:</t>
  </si>
  <si>
    <t>Balance year:</t>
  </si>
  <si>
    <t>Año del balance:</t>
  </si>
  <si>
    <t>ErstellerIn:</t>
  </si>
  <si>
    <t>Compilatore/trice:</t>
  </si>
  <si>
    <t>Document created by:</t>
  </si>
  <si>
    <t>Redactor del balance:</t>
  </si>
  <si>
    <t>E-Mail-Adresse:</t>
  </si>
  <si>
    <t>indirizzo mail:</t>
  </si>
  <si>
    <t>Email address:</t>
  </si>
  <si>
    <t>E-mail:</t>
  </si>
  <si>
    <t>Telefonnummer:</t>
  </si>
  <si>
    <t>numero di telefono:</t>
  </si>
  <si>
    <t>Phone number:</t>
  </si>
  <si>
    <t>Teléfono:</t>
  </si>
  <si>
    <t>BeraterIn:</t>
  </si>
  <si>
    <t>Consulente:</t>
  </si>
  <si>
    <t>Consultant:</t>
  </si>
  <si>
    <t>Consultor/a:</t>
  </si>
  <si>
    <t>E-mail address:</t>
  </si>
  <si>
    <t>Phone Number</t>
  </si>
  <si>
    <t>Kurzbeschreibung
des Unternehmens:</t>
  </si>
  <si>
    <t>Breve descrizione dell'impresa:</t>
  </si>
  <si>
    <t>Short description of Company / Organisation</t>
  </si>
  <si>
    <t>Breve descripción de la empresa:</t>
  </si>
  <si>
    <t>Sonstige Anmerkungen:</t>
  </si>
  <si>
    <t>Altre osservazioni:</t>
  </si>
  <si>
    <t>Additional comments:</t>
  </si>
  <si>
    <t>Otros comentarios:</t>
  </si>
  <si>
    <t>BERECHNUNG DER EINZELNEN THEMEN</t>
  </si>
  <si>
    <t>Calcolo dei singoli criteri</t>
  </si>
  <si>
    <t>CALCULATION OF INDIVIDUAL INDICATORS</t>
  </si>
  <si>
    <t>CÁLCULO DE CADA UNO DE LOS TEMAS</t>
  </si>
  <si>
    <t>Unternehmen</t>
  </si>
  <si>
    <t>Azienda</t>
  </si>
  <si>
    <t>Company / Organisation</t>
  </si>
  <si>
    <t>Empresa:</t>
  </si>
  <si>
    <t>Bilanz-Jahr</t>
  </si>
  <si>
    <t>Anno di riferimento</t>
  </si>
  <si>
    <t>Period under review</t>
  </si>
  <si>
    <t>BERECHNUNG DER EINZELNEN ASPEKTE</t>
  </si>
  <si>
    <t>Calcolo detagliato dei singoli aspetti</t>
  </si>
  <si>
    <t>CALCULATION OF INDIVIDUAL ASPECTS</t>
  </si>
  <si>
    <t>CÁLCULO DE CADA UNO DE LOS ASPECTOS</t>
  </si>
  <si>
    <t>Gemeinwohl-Bilanz-Rechner</t>
  </si>
  <si>
    <t>Calcolatore del bilancio del Bene Comune</t>
  </si>
  <si>
    <t>Common Good Balance Calculator</t>
  </si>
  <si>
    <t>Calculadora del Bien Común</t>
  </si>
  <si>
    <t>BILANZSUMME:</t>
  </si>
  <si>
    <t>Somma Bilancio:</t>
  </si>
  <si>
    <t>Total Balance Score:</t>
  </si>
  <si>
    <t>Puntuación total:</t>
  </si>
  <si>
    <t>Nr.</t>
  </si>
  <si>
    <t>N°</t>
  </si>
  <si>
    <t>No.</t>
  </si>
  <si>
    <t>N.º</t>
  </si>
  <si>
    <t>Berührungsgruppe</t>
  </si>
  <si>
    <t>Gruppo coinvolto</t>
  </si>
  <si>
    <t xml:space="preserve">Stakeholders </t>
  </si>
  <si>
    <t>Grupos de interés</t>
  </si>
  <si>
    <t>Berührungsgruppe/Themen/Aspekte</t>
  </si>
  <si>
    <t>Gruppo d'Interesse/Tema/Aspetto</t>
  </si>
  <si>
    <t>Stakeholders/Indicators/Criteria</t>
  </si>
  <si>
    <t>Grupo de interés / Tema / Aspecto</t>
  </si>
  <si>
    <t>Gewichtung</t>
  </si>
  <si>
    <t>Peso</t>
  </si>
  <si>
    <t>Weight</t>
  </si>
  <si>
    <t>Ponderación</t>
  </si>
  <si>
    <t>molto alto</t>
  </si>
  <si>
    <t>very high</t>
  </si>
  <si>
    <t>Muy alta</t>
  </si>
  <si>
    <t>alto</t>
  </si>
  <si>
    <t>high</t>
  </si>
  <si>
    <t>Alta</t>
  </si>
  <si>
    <t>medio</t>
  </si>
  <si>
    <t>medium</t>
  </si>
  <si>
    <t>Media</t>
  </si>
  <si>
    <t>basso</t>
  </si>
  <si>
    <t>low</t>
  </si>
  <si>
    <t>Baja</t>
  </si>
  <si>
    <t>non da considerare</t>
  </si>
  <si>
    <t>not applicable</t>
  </si>
  <si>
    <t>No aplica</t>
  </si>
  <si>
    <t>Erläuterung</t>
  </si>
  <si>
    <t>Descrizione</t>
  </si>
  <si>
    <t>Current status</t>
  </si>
  <si>
    <t>Estado actual</t>
  </si>
  <si>
    <t>Verbesserungspotenzial</t>
  </si>
  <si>
    <t>Possibilità di miglioramento</t>
  </si>
  <si>
    <t>Potential for improvement</t>
  </si>
  <si>
    <t>Áreas de mejora</t>
  </si>
  <si>
    <t>Erfüll.</t>
  </si>
  <si>
    <t>Val%</t>
  </si>
  <si>
    <t>Est%</t>
  </si>
  <si>
    <t>Nivel</t>
  </si>
  <si>
    <t>Pkte</t>
  </si>
  <si>
    <t>Punti</t>
  </si>
  <si>
    <t>Points</t>
  </si>
  <si>
    <t>Punt.</t>
  </si>
  <si>
    <t>Max.</t>
  </si>
  <si>
    <t>Stakeholders/ tematiche/ aspetti</t>
  </si>
  <si>
    <t>Stakeholders/ Themes/ Aspects</t>
  </si>
  <si>
    <t>Lieferant*innen</t>
  </si>
  <si>
    <t>Fornitori</t>
  </si>
  <si>
    <t>Suppliers</t>
  </si>
  <si>
    <t>Proveedores</t>
  </si>
  <si>
    <t>Menschenwürde in der Zulieferkette</t>
  </si>
  <si>
    <t>La dignità umana lungo la catena di fornitura</t>
  </si>
  <si>
    <t>Human dignity in the supply chain</t>
  </si>
  <si>
    <t>Dignidad humana en la cadena de suministro</t>
  </si>
  <si>
    <t>Arbeitsbedingungen und gesellschaftliche Auswirkungen in der Zulieferkette</t>
  </si>
  <si>
    <t>Condizioni di lavoro e conseguenze sociali nella catena di fornitura</t>
  </si>
  <si>
    <t>Working conditions and social impact in the supply chain</t>
  </si>
  <si>
    <t>Condiciones de trabajo e impacto social en la cadena de suministro</t>
  </si>
  <si>
    <t>Negativ-Aspekt: Verletzung der Menschenwürde in der Zulieferkette</t>
  </si>
  <si>
    <t>Aspetto negativo: Violazione della dignità umana nella catena di fornitura</t>
  </si>
  <si>
    <t>Negative aspect: violation of human dignity in the supply chain</t>
  </si>
  <si>
    <t>Aspecto negativo: vulneración de la dignidad humana en la cadena de suministro</t>
  </si>
  <si>
    <t>Solidarität und Gerechtigkeit in der Zulieferkette</t>
  </si>
  <si>
    <t>Solidarietà e giustizia nella catena di fornitura</t>
  </si>
  <si>
    <t>Solidarity and social justice in the supply chain</t>
  </si>
  <si>
    <t>Justicia y solidaridad en la cadena de suministro</t>
  </si>
  <si>
    <t>Faire Geschäftsbeziehungen zu direkten Lieferant*innen</t>
  </si>
  <si>
    <t>Relazioni commerciali eque nei confronti dei fornitori diretti</t>
  </si>
  <si>
    <t>Fair business practices towards direct suppliers</t>
  </si>
  <si>
    <t>Actitud ética con proveedores directos</t>
  </si>
  <si>
    <t>Positive Einflussnahme auf Solidarität und Gerechtigkeit in der gesamten Zulieferkette</t>
  </si>
  <si>
    <t>Influssi positivi sulla solidarietà e la giustizia lungo l'intera catena di fornitura</t>
  </si>
  <si>
    <t>Exercising a positive influence on solidarity and social justice in the supply chain</t>
  </si>
  <si>
    <t>Promoción de la justicia y la solidaridad en toda la cadena de suministro</t>
  </si>
  <si>
    <t>Negativ-Aspekt: Ausnutzung der Marktmacht gegenüber Lieferant*innen</t>
  </si>
  <si>
    <t>Aspetto negativo: Sfruttamento del potere di mercato nei confronti dei fornitori</t>
  </si>
  <si>
    <t>Negative aspect: abuse of market power against suppliers</t>
  </si>
  <si>
    <t>Aspecto negativo: abuso de poder de mercado frente a proveedores</t>
  </si>
  <si>
    <t>Ökologische Nachhaltigkeit in der Zulieferkette</t>
  </si>
  <si>
    <t>Sostenibilità ecologica nella catena di fornitura</t>
  </si>
  <si>
    <t>Environmental sustainability in the supply chain</t>
  </si>
  <si>
    <t>Sostenibilidad medioambiental en la cadena de suministro</t>
  </si>
  <si>
    <t>Umweltauswirkungen in der Zulieferkette</t>
  </si>
  <si>
    <t>Conseguenze ambientali lungo la catena di fornitura</t>
  </si>
  <si>
    <t>Environmental impact throughout the supply chain</t>
  </si>
  <si>
    <t>Impacto medioambiental en la cadena de suministro</t>
  </si>
  <si>
    <t>Negativ-Aspekt:Unverhältnismäßig hohe Umweltauswirkungen in der Zulieferkette</t>
  </si>
  <si>
    <t>Aspetto negativo: Conseguenze ambientali sproporzionatamente elevate lungo la catena di fornitura</t>
  </si>
  <si>
    <t>Negative aspect: disproportionate environmental impact throughout the supply chain</t>
  </si>
  <si>
    <t>Aspecto negativo: impacto medioambiental desproporcionado en la cadena de suministro</t>
  </si>
  <si>
    <t>Transparenz und Mitentscheidung in der Zulieferkette</t>
  </si>
  <si>
    <t>Trasparenza e condivisione delle decisioni lungo la catena di fornitura</t>
  </si>
  <si>
    <t>Transparency &amp; co-determination in the supply chain</t>
  </si>
  <si>
    <t>Transparencia y participación democrática en la cadena de suministro</t>
  </si>
  <si>
    <t>Transparenz und Mitentscheidungsrechte für Lieferant*innen</t>
  </si>
  <si>
    <t>Trasparenza e diritti di condivisione delle decisioni per i fornitori</t>
  </si>
  <si>
    <t>Transparency towards suppliers and their right to co-determination</t>
  </si>
  <si>
    <t>Transparencia y participación democrática de los proveedores</t>
  </si>
  <si>
    <t>Positive Einflussnahme auf Transparenz und Mitentscheidung in der gesamten Zulieferkette</t>
  </si>
  <si>
    <t>Influssi positivi sulla trasparenza e la condivisione delle decisioni lungo l'intera catena di fornitura</t>
  </si>
  <si>
    <t>Positive influence on transparency and co-determination throughout the supply chain</t>
  </si>
  <si>
    <t>Promoción de la transparencia y participación democrática en toda la cadena de suministro</t>
  </si>
  <si>
    <t>Eigentümer*innen und Finanzpartner*innen</t>
  </si>
  <si>
    <t>Proprietari &amp; partner finanziari</t>
  </si>
  <si>
    <t>Owners, equity- and financial service providers</t>
  </si>
  <si>
    <t>Propietarios y proveedores financieros</t>
  </si>
  <si>
    <t>Ethische Haltung im Umgang mit Geldmitteln</t>
  </si>
  <si>
    <t>Atteggiamento etico nell'impiego di fondi</t>
  </si>
  <si>
    <t>Ethical position in relation to financial resources</t>
  </si>
  <si>
    <t>Actitud ética en la gestión de recursos financieros</t>
  </si>
  <si>
    <t>Finanzielle Unabhängigkeit durch Eigenfinanzierung</t>
  </si>
  <si>
    <t>Autonomia finanziaria grazie all'autofinanziamento</t>
  </si>
  <si>
    <t>Financial independence through equity financing</t>
  </si>
  <si>
    <t>Independencia financiera: autofinanciación</t>
  </si>
  <si>
    <t>Gemeinwohlorientierte Fremdfinanzierung</t>
  </si>
  <si>
    <t>Finanziamento esterno orientato al bene comune</t>
  </si>
  <si>
    <t>Common Good-orientated borrowing</t>
  </si>
  <si>
    <t>Financiación externa orientada al Bien Común</t>
  </si>
  <si>
    <t>Ethische Haltung externer Finanzpartner*innen</t>
  </si>
  <si>
    <t>L'approccio etico di finanziatori esterni</t>
  </si>
  <si>
    <t>Ethical position of external financial partners</t>
  </si>
  <si>
    <t>Actitud ética de los proveedores financieros</t>
  </si>
  <si>
    <t>Soziale Haltung im Umgang mit Geldmitteln</t>
  </si>
  <si>
    <t>Atteggiamento sociale nell'impiego di fondi</t>
  </si>
  <si>
    <t>Social position in relation to financial resources</t>
  </si>
  <si>
    <t>Actitud solidaria en la gestión de recursos financieros</t>
  </si>
  <si>
    <t>Solidarische und gemeinwohlorientierte Mittelverwendung</t>
  </si>
  <si>
    <t>Impiego dei fondi solidale e orientato al bene comune</t>
  </si>
  <si>
    <t>Solidarity and Common Good-orientated use of funds</t>
  </si>
  <si>
    <t>Gestión de los recursos financieros de forma solidaria y orientada al Bien Común</t>
  </si>
  <si>
    <t>Negativ-Aspekt: Unfaire Verteilung von Geldmittel</t>
  </si>
  <si>
    <t>Aspetto negativo: Distribuzione iniqua di fondi</t>
  </si>
  <si>
    <t>Negative aspect: unfair distribution of funds</t>
  </si>
  <si>
    <t>Aspecto negativo: repartición injusta de los recursos financieros</t>
  </si>
  <si>
    <t>Sozial-ökologische Investitionen und Mittelverwendung</t>
  </si>
  <si>
    <t>Investimenti socio-ecologici e impiego dei fondi</t>
  </si>
  <si>
    <t>Use of funds in relation to social and environmental impacts</t>
  </si>
  <si>
    <t>Inversiones financieras sostenibles y uso de los recursos financieros</t>
  </si>
  <si>
    <t>Ökologische Qualität der Investitionen</t>
  </si>
  <si>
    <t>Qualità ecologica degli investimenti</t>
  </si>
  <si>
    <t>Environmental quality of investments</t>
  </si>
  <si>
    <t>Carácter ambiental de los recursos financieros</t>
  </si>
  <si>
    <t>Gemeinwohlorientierte Veranlagung</t>
  </si>
  <si>
    <t>Investimento orientato al bene comune</t>
  </si>
  <si>
    <t>Common Good-orientated investment</t>
  </si>
  <si>
    <t>Inversiones orientadas al Bien Común</t>
  </si>
  <si>
    <t>Negativ-Aspekt: Abhängigkeit von ökologisch bedenklichen Ressourcen</t>
  </si>
  <si>
    <t>Aspetto negativo: Dipendenza da risorse a rischio in termini ecologici</t>
  </si>
  <si>
    <t>Negative aspect: reliance on environmentally unsafe resources</t>
  </si>
  <si>
    <t>Aspecto negativo: dependencia de recursos perjudiciales para el medio ambiente</t>
  </si>
  <si>
    <t>Eigentum und Mitentscheidung</t>
  </si>
  <si>
    <t>Proprietà e condivisione delle decisioni</t>
  </si>
  <si>
    <t>Ownership and co-determination</t>
  </si>
  <si>
    <t>Propiedad y participación democrática</t>
  </si>
  <si>
    <t>Gemeinwohlorientierte Eigentumsstruktur</t>
  </si>
  <si>
    <t>Struttura di proprietà orientata al bene comune</t>
  </si>
  <si>
    <t>Common Good-orientated ownership structure</t>
  </si>
  <si>
    <t>Distribución de la propiedad orientada al Bien Común</t>
  </si>
  <si>
    <t>Negativ-Aspekt: Feindliche Übernahme</t>
  </si>
  <si>
    <t>Aspetto negativo: Scalata ostile</t>
  </si>
  <si>
    <t>Negative aspect: hostile takeover</t>
  </si>
  <si>
    <t>Aspecto negativo: oferta pública de adquisición (OPA) hostil</t>
  </si>
  <si>
    <t>Mitarbeitende</t>
  </si>
  <si>
    <t>Collaboratori</t>
  </si>
  <si>
    <t>Employees</t>
  </si>
  <si>
    <t>Trabajadores</t>
  </si>
  <si>
    <t>Menschenwürde am Arbeitsplatz</t>
  </si>
  <si>
    <t>La dignità umana sul posto di lavoro</t>
  </si>
  <si>
    <t>Human dignity in the workplace and working environment</t>
  </si>
  <si>
    <t>Dignidad humana en el puesto de trabajo</t>
  </si>
  <si>
    <t>Mitarbeiterorientierte Unternehmenskultur</t>
  </si>
  <si>
    <t>Cultura aziendale orientata ai collaboratori</t>
  </si>
  <si>
    <t>Employee-focused organisational culture</t>
  </si>
  <si>
    <t>Cultura empresarial orientada a las personas</t>
  </si>
  <si>
    <t>Gesundheitsförderung und Arbeitsschutz</t>
  </si>
  <si>
    <t xml:space="preserve">Promozione della salute e protezione sul posto di lavoro </t>
  </si>
  <si>
    <t>Health promotion and occupational health and safety</t>
  </si>
  <si>
    <t>Promoción de la salud y seguridad en el trabajo</t>
  </si>
  <si>
    <t>Diversität und Chancengleichheit</t>
  </si>
  <si>
    <t>Diversità e pari opportunità</t>
  </si>
  <si>
    <t>Diversity and equal opportunities</t>
  </si>
  <si>
    <t>Diversidad e igualdad de oportunidades</t>
  </si>
  <si>
    <t>Negativ-Aspekt: Menschenunwürdige Arbeitsbedingungen</t>
  </si>
  <si>
    <t>Aspetto negativo: Condizioni di lavoro disumane</t>
  </si>
  <si>
    <t>Negative aspect: unfit working conditions</t>
  </si>
  <si>
    <t>Aspecto negativo: condiciones de trabajo indignas</t>
  </si>
  <si>
    <t>Ausgestaltung der Arbeitsverträge</t>
  </si>
  <si>
    <t>Self-determined working arrangements</t>
  </si>
  <si>
    <t>Formalidad de los contratos de trabajo</t>
  </si>
  <si>
    <t>Ausgestaltung des Verdienstes</t>
  </si>
  <si>
    <t>Strutturazione del guadagno</t>
  </si>
  <si>
    <t>Pay structure</t>
  </si>
  <si>
    <t>Formalidad y estructura salarial</t>
  </si>
  <si>
    <t>Ausgestaltung der Arbeitszeit</t>
  </si>
  <si>
    <t>Organizzazione dell'orario di lavoro</t>
  </si>
  <si>
    <t>Structuring working time</t>
  </si>
  <si>
    <t>Formalidad en el horario laboral</t>
  </si>
  <si>
    <t>Ausgestaltung des Arbeitsverhältnisses und Work-Life-Balance</t>
  </si>
  <si>
    <t>Organizzazione del rapporto di lavoro e Work-Life-Balance</t>
  </si>
  <si>
    <t>Employment structure and work-life balance</t>
  </si>
  <si>
    <t>Formalidad en las condiciones de trabajo y en la conciliación</t>
  </si>
  <si>
    <t>Negativ-Aspekt: Ungerechte Ausgestaltung der Arbeitsverträge</t>
  </si>
  <si>
    <t>Aspetto negativo: Strutturazione ingiusta dei contratti di lavoro</t>
  </si>
  <si>
    <t>Negative aspect: unfair employment contracts</t>
  </si>
  <si>
    <t>Aspecto negativo: contratos de trabajo injustos</t>
  </si>
  <si>
    <t>Förderung des ökologischen Verhaltens der Mitarbeitenden</t>
  </si>
  <si>
    <t>Promozione del comportamento ecologico dei collaboratori</t>
  </si>
  <si>
    <t>Environmentally-friendly behaviour of staff</t>
  </si>
  <si>
    <t>Promoción de la responsabilidad medioambiental de los trabajadores</t>
  </si>
  <si>
    <t>Ernährung während der Arbeitszeit</t>
  </si>
  <si>
    <t>L'alimentazione durante l'orario di lavoro</t>
  </si>
  <si>
    <t>Food during working hours</t>
  </si>
  <si>
    <t>Alimentación durante la jornada laboral</t>
  </si>
  <si>
    <t>Mobilität zum Arbeitsplatz</t>
  </si>
  <si>
    <t>Mobilità sul posto di lavoro</t>
  </si>
  <si>
    <t>Travel to work</t>
  </si>
  <si>
    <t>Movilidad sostenible al puesto de trabajo</t>
  </si>
  <si>
    <t>Organisationskultur, Sensibilisierung und unternehmensinterne Prozesse</t>
  </si>
  <si>
    <t>Cultura organizzativa, sensibilizzazione all'organizzazione ecologica dei processi</t>
  </si>
  <si>
    <t>Organisational culture, cultivating awareness for an environmentally-friendly approach</t>
  </si>
  <si>
    <t>Cultura empresarial sostenible y sensibilización con el medio ambiente</t>
  </si>
  <si>
    <t>Negativ-Aspekt: Anleitung zur Verschwendung / Duldung unökologischen Verhaltens</t>
  </si>
  <si>
    <t>Aspetto negativo: Guida allo spreco / Tolleranza di comportamenti non ecologici</t>
  </si>
  <si>
    <t>Negative aspect: guidance on waste/ environmentally damaging practices</t>
  </si>
  <si>
    <t>Aspecto negativo: promoción y tolerancia frente a la actitud medioambiental no responsable</t>
  </si>
  <si>
    <t>Condivisione delle decisioni e trasparenza in azienda</t>
  </si>
  <si>
    <t>Co-determination and transparency within the organisation</t>
  </si>
  <si>
    <t>Transparencia y participación democrática interna</t>
  </si>
  <si>
    <t>Innerbetriebliche Transparenz</t>
  </si>
  <si>
    <t>Trasparenza in azienda</t>
  </si>
  <si>
    <t>Transparency within the organisation</t>
  </si>
  <si>
    <t>Transparencia interna</t>
  </si>
  <si>
    <t>Legitimierung der Führungskräfte</t>
  </si>
  <si>
    <t>Legittimazione dei dirigenti</t>
  </si>
  <si>
    <t>Legitimation of the management</t>
  </si>
  <si>
    <t>Legitimación de la dirección</t>
  </si>
  <si>
    <t>Mitentscheidung der Mitarbeitenden</t>
  </si>
  <si>
    <t>Condivisione delle decisioni da parte dei collaboratori</t>
  </si>
  <si>
    <t>Employee co-determination</t>
  </si>
  <si>
    <t>Participación de los trabajadores en la toma de decisiones</t>
  </si>
  <si>
    <t>Negativ-Aspekt C4.4: Verhinderung des Betriebsrates</t>
  </si>
  <si>
    <t>Aspetto negativo: Impedimento del consiglio aziendale</t>
  </si>
  <si>
    <t>Negative aspect: obstruction of works councils</t>
  </si>
  <si>
    <t>Aspecto negativo: Impedimiento del comité de empresa</t>
  </si>
  <si>
    <t>Kund*nnen und Mitunternehmen</t>
  </si>
  <si>
    <t>Clienti &amp; concorrenti</t>
  </si>
  <si>
    <t>Customers and other companies</t>
  </si>
  <si>
    <t>Clientes y otras empresas</t>
  </si>
  <si>
    <t>Ethische Kund*innenbeziehungen</t>
  </si>
  <si>
    <t>Relazioni etiche con la clientela</t>
  </si>
  <si>
    <t>Ethical customer relations</t>
  </si>
  <si>
    <t>Actitud ética con los clientes</t>
  </si>
  <si>
    <t>Menschenwürdige Kommunikation mit Kund*innen</t>
  </si>
  <si>
    <t>Comunicazione dignitosa con i clienti</t>
  </si>
  <si>
    <t>Respect for human dignity in communication with customers</t>
  </si>
  <si>
    <t>Comunicación transparente con los clientes</t>
  </si>
  <si>
    <t>Barrierefreiheit</t>
  </si>
  <si>
    <t>Assenza di barriere</t>
  </si>
  <si>
    <t>Barrier-free access</t>
  </si>
  <si>
    <t>Accesibilidad</t>
  </si>
  <si>
    <t>Negativ-Aspekt: Unethische Werbemaßnahmen</t>
  </si>
  <si>
    <t>Aspetto negativo: Misure pubblicitarie non etiche</t>
  </si>
  <si>
    <t>Negative aspect: unethical advertising</t>
  </si>
  <si>
    <t>Aspecto negativo: publicidad engañosa y acciones comerciales no éticas</t>
  </si>
  <si>
    <t>Kooperation und Solidarität mit Mitunternehmen</t>
  </si>
  <si>
    <t>Cooperazione e solidarietà con i concorrenti</t>
  </si>
  <si>
    <t>Cooperation and solidarity with other companies</t>
  </si>
  <si>
    <t>Cooperación y solidaridad con otras empresas del sector</t>
  </si>
  <si>
    <t>Kooperation mit Mitunternehmen</t>
  </si>
  <si>
    <t>Cooperazione con i concorrenti</t>
  </si>
  <si>
    <t>Cooperation with other companies</t>
  </si>
  <si>
    <t>Cooperación con otras empresas</t>
  </si>
  <si>
    <t>Solidarität mit Mitunternehmen</t>
  </si>
  <si>
    <t>La solidarietà con i concorrenti</t>
  </si>
  <si>
    <t>Solidarity with other companies</t>
  </si>
  <si>
    <t>Solidaridad con otras empresas</t>
  </si>
  <si>
    <t>Negativ-Aspekt D2.3: Missbrauch der Marktmacht gegenüber Mitunternehmen</t>
  </si>
  <si>
    <t>Aspetto negativo: Abuso del potere di mercato nei confronti dei concorrenti</t>
  </si>
  <si>
    <t>Negative aspect: abuse of market power to the detriment of other companies</t>
  </si>
  <si>
    <t>Aspecto negativo: abuso de poder de mercado frente a otras empresas</t>
  </si>
  <si>
    <t>Ökologische Auswirkung durch Nutzung und Entsorgung von Produkten und Dienstleistungen</t>
  </si>
  <si>
    <t>Conseguenze ecologiche dell'utilizzo e dello smaltimento di prodotti e servizi</t>
  </si>
  <si>
    <t>Impact on the environment of the use and disposal of products and services</t>
  </si>
  <si>
    <t>Impacto medioambiental del uso y de la gestión de residuos de los productos y servicios</t>
  </si>
  <si>
    <t>Ökologisches Kosten-Nutzen-Verhältnis von Produkten und Dienstleistungen (Effizienz und Konsistenz)</t>
  </si>
  <si>
    <t>Rapporto ecologico costi/ benefici di prodotti e servizi (efficienza e consistenza)</t>
  </si>
  <si>
    <t xml:space="preserve">Environmental cost-benefit ration of products and services (efficiency and consistency) </t>
  </si>
  <si>
    <t>Relación coste-beneficio medioambiental de productos y ervicios (eficiencia y consistencia)</t>
  </si>
  <si>
    <t>Maßvolle Nutzung von Produkten und Dienstleistungen (Suffizienz)</t>
  </si>
  <si>
    <t>Utilizzo moderato di prodotti e servizi (sufficienza)</t>
  </si>
  <si>
    <t>Moderate use of products and services (sufficiency)</t>
  </si>
  <si>
    <t>Uso moderado de productos y servicios (suficiencia)</t>
  </si>
  <si>
    <t>Negativ-Aspekt: Bewusste Inkaufnahme unverhältnismäßiger, ökologischer Auswirkungen</t>
  </si>
  <si>
    <t>Aspetto negativo: Accettazione consapevole di conseguenze ecologiche spropositate</t>
  </si>
  <si>
    <t>Negative aspect: wilful disregard of disproportionate environmental impacts</t>
  </si>
  <si>
    <t>Aspecto negativo: tolerancia frente al impacto medioambiental desproporcionado y consciente</t>
  </si>
  <si>
    <t>Kund*innen-Mitwirkung und Produkttransparenz</t>
  </si>
  <si>
    <t>Partecipazione dei clienti e trasparenza dei prodotti</t>
  </si>
  <si>
    <t>Customer participation and product transparency</t>
  </si>
  <si>
    <t>Participación de los clientes y transparencia de producto</t>
  </si>
  <si>
    <t>Kund*innen-Mitwirkung, gemeinsame Produktentwicklung und Marktforschung</t>
  </si>
  <si>
    <t>Partecipazione dei clienti, sviluppo comune dei prodotti e ricerca di mercato</t>
  </si>
  <si>
    <t>Customer participation, joint product development and market research</t>
  </si>
  <si>
    <t>Participación de los clientes en la toma de decisiones, desarrollo de producto e investigación de mercado</t>
  </si>
  <si>
    <t>Produkttransparenz</t>
  </si>
  <si>
    <t>Trasparenza dei prodotti</t>
  </si>
  <si>
    <t>Product transparency</t>
  </si>
  <si>
    <t>Transparencia de producto</t>
  </si>
  <si>
    <t>Negativ-Aspekt: Kein Ausweis von Gefahrenstoffen</t>
  </si>
  <si>
    <t>Aspetto negativo: Mancata indicazione di sostanze pericolose</t>
  </si>
  <si>
    <t>Negative aspect: non-disclosure of hazardous substances</t>
  </si>
  <si>
    <t>Aspecto negativo: no declaración sobre sustancias/mercancías peligrosas</t>
  </si>
  <si>
    <t>Gesellschaftliches Umfeld</t>
  </si>
  <si>
    <t>Contesto sociale</t>
  </si>
  <si>
    <t>Social environment</t>
  </si>
  <si>
    <t>Entorno social</t>
  </si>
  <si>
    <t>Sinn und gesellschaftliche Wirkung der Produkte und Dienstleistungen</t>
  </si>
  <si>
    <t>Senso e impatto dei prodotti e servizi sulla società</t>
  </si>
  <si>
    <t>Purpose of products and services and their effects on society</t>
  </si>
  <si>
    <t>Propósito e impacto positivo de los productos y servicios</t>
  </si>
  <si>
    <t>Produkte und Dienstleistungen decken den Grundbedarf und dienen dem guten Leben</t>
  </si>
  <si>
    <t>Prodotti e servizi coprono il fabbisogno di base e sono utili a una buona vita</t>
  </si>
  <si>
    <t>Products and services should cover basic needs and contribute to a good life</t>
  </si>
  <si>
    <t>Productos y servicios que cubren las necesidades básicas y mejoran la calidad de vida</t>
  </si>
  <si>
    <t>Gesellschaftliche Wirkung der Produkte und Dienstleistungen</t>
  </si>
  <si>
    <t>Impatto dei prodotti e servizi sulla società</t>
  </si>
  <si>
    <t>Social impact of products and services</t>
  </si>
  <si>
    <t>Impacto social de los productos y servicios</t>
  </si>
  <si>
    <t>Negativ-Aspekt: Menschenunwürdige Produkte und Dienstleistungen</t>
  </si>
  <si>
    <t>Aspetto negativo: Prodotti e servizi disumani</t>
  </si>
  <si>
    <t>Negative aspect: unethical and unfit products and services</t>
  </si>
  <si>
    <t>Aspecto negativo: productos y servicios que vulneran la dignidad humana</t>
  </si>
  <si>
    <t>Beitrag zum Gemeinwesen</t>
  </si>
  <si>
    <t>Contributo per la collettività</t>
  </si>
  <si>
    <t>Contribution to the community</t>
  </si>
  <si>
    <t>Contribución a la comunidad</t>
  </si>
  <si>
    <t>Steuern und Sozialabgaben</t>
  </si>
  <si>
    <t>Imposte e oneri sociali</t>
  </si>
  <si>
    <t>Taxes and social security contributions</t>
  </si>
  <si>
    <t>Impuestos y prestaciones sociales</t>
  </si>
  <si>
    <t>Freiwillige Beiträge zur Stärkung des Gemeinwesens</t>
  </si>
  <si>
    <t>Contributi volontari per rafforzare la collettività</t>
  </si>
  <si>
    <t>Voluntary contributions that strengthen society</t>
  </si>
  <si>
    <t>Contribución voluntaria a la comunidad</t>
  </si>
  <si>
    <t>Negativ-Aspekt: Illegitime Steuervermeidung</t>
  </si>
  <si>
    <t>Aspetto negativo: Evasione fiscale illecita</t>
  </si>
  <si>
    <t>Negative aspect: inappropriate non-payment of tax</t>
  </si>
  <si>
    <t>Aspecto negativo: elusión y evasión fiscal</t>
  </si>
  <si>
    <t>Negativ-Aspekt: Mangelnde Korruptionsprävention</t>
  </si>
  <si>
    <t>Aspetto negativo: Mancata prevenzione della corruzione</t>
  </si>
  <si>
    <t>Negative aspect: no anti-corruption policy</t>
  </si>
  <si>
    <t>Aspecto negativo: falta de prevención frente a la corrupción</t>
  </si>
  <si>
    <t>Reduktion ökologischer Auswirkungen</t>
  </si>
  <si>
    <t>Riduzione delle conseguenze ecologiche</t>
  </si>
  <si>
    <t>Reduction of environmental impact</t>
  </si>
  <si>
    <t>Reducción del impacto medioambiental</t>
  </si>
  <si>
    <t>Absolute Auswirkungen / Management &amp; Strategie</t>
  </si>
  <si>
    <t>Conseguenze assolute / Management &amp; strategia</t>
  </si>
  <si>
    <t>Absolute impact and management strategy</t>
  </si>
  <si>
    <t>Impacto medioambiental / Gestión y estrategia</t>
  </si>
  <si>
    <t>Relative Auswirkungen</t>
  </si>
  <si>
    <t>Conseguenze relative</t>
  </si>
  <si>
    <t>Relative impact</t>
  </si>
  <si>
    <t>Impacto relativo</t>
  </si>
  <si>
    <t>Negativ-Aspekt: Verstöße gegen Umweltauflagen sowie unangemessene Umweltbelastungen</t>
  </si>
  <si>
    <t>Aspetto negativo: Violazioni dei requisiti ambientali e impatto inadeguato sull'ambiente</t>
  </si>
  <si>
    <t>Negative aspect: infringement of environmental regulations and disproportionate environmental pollution</t>
  </si>
  <si>
    <t>Aspecto negativo: infracción de la normativa medioambiental e impacto desproporcionado</t>
  </si>
  <si>
    <t>Transparenz und gesellschaftliche Mitentscheidung</t>
  </si>
  <si>
    <t>Trasparenza e condivisione sociale delle decisioni</t>
  </si>
  <si>
    <t>Social co-determination and transparency</t>
  </si>
  <si>
    <t>Transparencia y participación democrática del entorno social</t>
  </si>
  <si>
    <t>Transparenz</t>
  </si>
  <si>
    <t>Trasparenza</t>
  </si>
  <si>
    <t>Transparency</t>
  </si>
  <si>
    <t>Transparencia</t>
  </si>
  <si>
    <t>Gesellschaftliche Mitbestimmung</t>
  </si>
  <si>
    <t>Condivisione sociale delle decisioni</t>
  </si>
  <si>
    <t>Social participation</t>
  </si>
  <si>
    <t>Participación en la toma de decisiones el entorno social</t>
  </si>
  <si>
    <t>Negativ-Aspekt: Förderung von Intransparenz und bewusste Fehlinformation</t>
  </si>
  <si>
    <t>Aspetto negativo: Promozione di poca trasparenza e informazioni consapevolmente errate</t>
  </si>
  <si>
    <t>Negative aspect: lack of transparency and wilful misinformation</t>
  </si>
  <si>
    <t>Aspecto negativo: manipulación de la información y falta de transparencia</t>
  </si>
  <si>
    <t>Fakten zum Unternehmen</t>
  </si>
  <si>
    <t>Fatti sull’azienda</t>
  </si>
  <si>
    <t>Company details</t>
  </si>
  <si>
    <t>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</si>
  <si>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</si>
  <si>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</si>
  <si>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Fill in the highlighted fields below. Where detailed information is not available, please enter estimates, otherwise the calculation will not be accurate</t>
  </si>
  <si>
    <t>Rellene los campos marcados con color. Si no dispusiera de algunos datos en concreto, estime su valor. Los datos son necesarios para que la hoja de cálculo funcione correctamente.</t>
  </si>
  <si>
    <t>bitte einfügen</t>
  </si>
  <si>
    <t>Inserisca per favore</t>
  </si>
  <si>
    <t>Please enter</t>
  </si>
  <si>
    <t>Escriba</t>
  </si>
  <si>
    <t>Bitte Auswählen</t>
  </si>
  <si>
    <t>Selezioni per favore</t>
  </si>
  <si>
    <t>Please choose</t>
  </si>
  <si>
    <t>Seleccione del catálogo</t>
  </si>
  <si>
    <t>Beschreibung des Gewichtungsmodelles</t>
  </si>
  <si>
    <t>Descrizione del modello di pesatura</t>
  </si>
  <si>
    <t>Description of the weighting model</t>
  </si>
  <si>
    <t>Descripción del método de ponderación</t>
  </si>
  <si>
    <t>Themen</t>
  </si>
  <si>
    <t>Temi</t>
  </si>
  <si>
    <t>Themes</t>
  </si>
  <si>
    <t>Temas</t>
  </si>
  <si>
    <t>Werte ►
Berührungsgruppe ▼</t>
  </si>
  <si>
    <t>Valori ►
Gruppi d‘interesse ▼</t>
  </si>
  <si>
    <t>Values ►
Stakekolders ▼</t>
  </si>
  <si>
    <t>Valores ►
Grupos deinterés ▼</t>
  </si>
  <si>
    <t>Berührungsgruppen &amp; Werte</t>
  </si>
  <si>
    <t>Gruppi d‘interesse &amp; valori</t>
  </si>
  <si>
    <t>Stakekolders &amp; values</t>
  </si>
  <si>
    <t>Grupos de interés ▼</t>
  </si>
  <si>
    <t>Allgemein</t>
  </si>
  <si>
    <t>Generale</t>
  </si>
  <si>
    <t>General</t>
  </si>
  <si>
    <t>Anmerkungen</t>
  </si>
  <si>
    <t>Note</t>
  </si>
  <si>
    <t>Notes</t>
  </si>
  <si>
    <t>Notas aclaratorias</t>
  </si>
  <si>
    <t xml:space="preserve"> (für EPUs skaliert)</t>
  </si>
  <si>
    <t xml:space="preserve"> (scalato per imprese individuali)</t>
  </si>
  <si>
    <t xml:space="preserve"> (scaled for STs)</t>
  </si>
  <si>
    <t>(ponderado para empresas unipersonales)</t>
  </si>
  <si>
    <t xml:space="preserve"> (für EPUs nicht relevant)</t>
  </si>
  <si>
    <t xml:space="preserve"> (non rilevante per imprese di un collaboratore)</t>
  </si>
  <si>
    <t xml:space="preserve"> (not relevant for STs)</t>
  </si>
  <si>
    <t>(no aplica en empresas unipersonales)</t>
  </si>
  <si>
    <t>Anmerkung: Dies ist kein Testat.</t>
  </si>
  <si>
    <t>Annotazione: Questo non è un attestato.</t>
  </si>
  <si>
    <t>GEMEINWOHL-MATRIX</t>
  </si>
  <si>
    <t>MATRICE DEL BENE COMUNE</t>
  </si>
  <si>
    <t>COMMON GOOD MATRIX</t>
  </si>
  <si>
    <t>MATRIZ DEL BIEN COMÚN</t>
  </si>
  <si>
    <t xml:space="preserve"> von </t>
  </si>
  <si>
    <t xml:space="preserve"> di </t>
  </si>
  <si>
    <t>of</t>
  </si>
  <si>
    <t>de</t>
  </si>
  <si>
    <t xml:space="preserve"> Punkten</t>
  </si>
  <si>
    <t xml:space="preserve"> punti</t>
  </si>
  <si>
    <t xml:space="preserve"> points</t>
  </si>
  <si>
    <t>Menschenwürde</t>
  </si>
  <si>
    <t>Dignità umana</t>
  </si>
  <si>
    <t>Human dignity</t>
  </si>
  <si>
    <t>Dignidad humana</t>
  </si>
  <si>
    <t>Solidarität &amp; Gerechtigkeit</t>
  </si>
  <si>
    <t>Solidarietà &amp; giustizia</t>
  </si>
  <si>
    <t>Solidarity &amp; social justice</t>
  </si>
  <si>
    <t>Solidaridad y justicia</t>
  </si>
  <si>
    <t>Ökologische Nachhaltigkeit</t>
  </si>
  <si>
    <t>Sostenibilità ambientale</t>
  </si>
  <si>
    <t>Environmental sustainability</t>
  </si>
  <si>
    <t>Sostenibilidad medioambiental</t>
  </si>
  <si>
    <t>Transparenz &amp; Mitentscheidung</t>
  </si>
  <si>
    <t>Trasparenza &amp; cogestione</t>
  </si>
  <si>
    <t>Transparency &amp; co-determination</t>
  </si>
  <si>
    <t>Transparencia y participación democrática</t>
  </si>
  <si>
    <t>Gemeinwohl-Stern für</t>
  </si>
  <si>
    <t>Stella del Bene Comune per</t>
  </si>
  <si>
    <t>Common Good Star for</t>
  </si>
  <si>
    <t>Diagrama de araña de</t>
  </si>
  <si>
    <t>BILANZ-ÜBERSICHT</t>
  </si>
  <si>
    <t>QUADRO DEL BILANCIO</t>
  </si>
  <si>
    <t>BALANCE OVERVIEW</t>
  </si>
  <si>
    <t>VISTA GLOBAL DEL BALANCE</t>
  </si>
  <si>
    <t>MITBESTIMMUNG UND TRANSPARENZ</t>
  </si>
  <si>
    <t>COGESTIONE E TRASPARENZA</t>
  </si>
  <si>
    <t>TRANSPARENCY &amp; CO-DETERMINATION</t>
  </si>
  <si>
    <t>TRANSPARENCIA Y PARTICIPACIÓN DEMOCRÁTICA</t>
  </si>
  <si>
    <t>MENSCHENWÜRDE</t>
  </si>
  <si>
    <t>DIGNITA’ UMANA</t>
  </si>
  <si>
    <t>HUMAN DIGNITY</t>
  </si>
  <si>
    <t>DIGNIDAD HUMANA</t>
  </si>
  <si>
    <t>SOLIDARITÄT</t>
  </si>
  <si>
    <t>SOLIDARIETA’</t>
  </si>
  <si>
    <t>SOLIDARITY</t>
  </si>
  <si>
    <t>SOLIDARIDAD</t>
  </si>
  <si>
    <t>ÖKOLOGISCHE NACHHALTIGKEIT</t>
  </si>
  <si>
    <t>SOSTENIBILITA’ AMBIENTALE</t>
  </si>
  <si>
    <t>ENVIRONMENTAL SUSTAINABILITY</t>
  </si>
  <si>
    <t>SOSTENIBILIDAD MEDIOAMBIENTAL</t>
  </si>
  <si>
    <t>SOZIALE GERECHTIGKEIT</t>
  </si>
  <si>
    <t>GIUSTIZIA SOCIALE</t>
  </si>
  <si>
    <t>SOCIAL JUSTICE</t>
  </si>
  <si>
    <t>JUSTICIA SOCIAL</t>
  </si>
  <si>
    <t>SUMME</t>
  </si>
  <si>
    <t>SOMMA</t>
  </si>
  <si>
    <t>TOTAL</t>
  </si>
  <si>
    <t>(für EPUs skaliert)</t>
  </si>
  <si>
    <t>(valori scalati per l’impresa di 1 persona)</t>
  </si>
  <si>
    <t>(scaled for STs)</t>
  </si>
  <si>
    <t>Dokumentation der Bewertung</t>
  </si>
  <si>
    <t>Documentazione della valutazione</t>
  </si>
  <si>
    <t>Documentation of assessment</t>
  </si>
  <si>
    <t>Documentación de la puntuación</t>
  </si>
  <si>
    <t>Selbsteinschätzung</t>
  </si>
  <si>
    <t>Valutazione propria</t>
  </si>
  <si>
    <t>Self-assessment</t>
  </si>
  <si>
    <t>Autoevaluación</t>
  </si>
  <si>
    <t>Peer-Evaluation</t>
  </si>
  <si>
    <t>Valutazione peer</t>
  </si>
  <si>
    <t>Peer-assessment</t>
  </si>
  <si>
    <t>Evaluación peer</t>
  </si>
  <si>
    <t>Provisorische Bewertung des externen Audits</t>
  </si>
  <si>
    <t>Valutazione esterna bozza</t>
  </si>
  <si>
    <t>Provisional audit assessment</t>
  </si>
  <si>
    <t>Puntuación provisional de la auditoría externa</t>
  </si>
  <si>
    <t>Definitive Bewertung externen Audits /Peer</t>
  </si>
  <si>
    <t>Valutazione definitiva audit esterno/Peer</t>
  </si>
  <si>
    <t>Agreed audit assessment</t>
  </si>
  <si>
    <t>Puntuación definitiva de la auditoría externa/Peer</t>
  </si>
  <si>
    <t>Passwort für den Schutz der Tabellen: „ebc“</t>
  </si>
  <si>
    <t>Password per la protezione delle tabelle: „ebc“</t>
  </si>
  <si>
    <t>Password for EXCEL sheet protection "ebc"</t>
  </si>
  <si>
    <t>Contraseña de esta hoja de cálculo: “ebc”</t>
  </si>
  <si>
    <t>alta</t>
  </si>
  <si>
    <t>media</t>
  </si>
  <si>
    <t>baja</t>
  </si>
  <si>
    <t>non applicabile</t>
  </si>
  <si>
    <t>non applicable</t>
  </si>
  <si>
    <t>no aplica</t>
  </si>
  <si>
    <t xml:space="preserve">Werte-Stern für </t>
  </si>
  <si>
    <t xml:space="preserve">Stella dei valori per </t>
  </si>
  <si>
    <t xml:space="preserve">Values star for </t>
  </si>
  <si>
    <t>Diagrama de araña. Valores de</t>
  </si>
  <si>
    <t xml:space="preserve">Gruppen-Stern für </t>
  </si>
  <si>
    <t xml:space="preserve">Stella dei gruppi per </t>
  </si>
  <si>
    <t xml:space="preserve">Group star for </t>
  </si>
  <si>
    <t>Diagrama de araña. Grupos de interés de</t>
  </si>
  <si>
    <t xml:space="preserve">Themen-Stern für </t>
  </si>
  <si>
    <t xml:space="preserve">Stella dei temi per </t>
  </si>
  <si>
    <t xml:space="preserve">Theme star for </t>
  </si>
  <si>
    <t>Diagrama de araña. Temas de</t>
  </si>
  <si>
    <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</si>
  <si>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</si>
  <si>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</si>
  <si>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</si>
  <si>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</si>
  <si>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</si>
  <si>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</si>
  <si>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</si>
  <si>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</si>
  <si>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</si>
  <si>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</si>
  <si>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</si>
  <si>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Die Gewichtung dieses Thema’s ist abhängig von den sozialen Risiken der Zulieferbranchen</t>
  </si>
  <si>
    <t>La ponderazione di questo tema dipende dai rischi sociali del settore dei fornitori</t>
  </si>
  <si>
    <t>The weighting of this theme is dependent on the social risks of the supplier's sector.</t>
  </si>
  <si>
    <t>La ponderación de este tema depende de los riesgos sociales en la cadena de suministro.</t>
  </si>
  <si>
    <t>Die Gewichtung dieses Thema’s ist abhängig vom ökologischen Effekt der Branche des Lieferanten (siehe Tabellenblatt “Industry”)</t>
  </si>
  <si>
    <t>La ponderazione di questo tema dipende dall'effetto ecologico dell'impresa del fornitore (vedi foglio "impresa")</t>
  </si>
  <si>
    <t>The weighting of this theme is dependent on the environmental effect of the supplier's sector (see sheet “Industry").</t>
  </si>
  <si>
    <t>La ponderación de este tema depende de los impactos medioambientales del sector al que pertenecen sus proveedores (veáse la hoja “Industry”)</t>
  </si>
  <si>
    <t>Die Gewichtung dieses Thema’s ist abhängig von den Mitbestimmungsrechte in den Ländern der wichtigsten Zulieferbranchen (basierend auf dem ITUC-Index der International Trade Union Confederation)</t>
  </si>
  <si>
    <t>La ponderazione di questo tema dipende dai diritti di partecipazione nei paesi dei settori di approvvigionamento più importanti (in base alla CSI-indice della Confederazione internazionale dei sindacati)</t>
  </si>
  <si>
    <t>The weighting of this theme is dependent on co-determination rights in the countries of the most important supply industries (based on the ILUC index of the International Labour Union).</t>
  </si>
  <si>
    <t>La ponderación de este tema depende de los derechos de participación democrática en los países de los proveedores más importantes (basado en el índice que elabora la confederación sindical internacional ITUC)</t>
  </si>
  <si>
    <t>Die Gewichtung dieses Thema’s ist abhängig von der Relation Umsatz zu Bilanzsumme</t>
  </si>
  <si>
    <t>La ponderazione di questo argomento dipende dalla relazione tra fatturato e totale del bilancio</t>
  </si>
  <si>
    <t>The weighting of this theme depends on the ratio turnover to the balance sheet total.</t>
  </si>
  <si>
    <t>La ponderación de este tema depende del cociente Facturación / Balance (financiero)</t>
  </si>
  <si>
    <t xml:space="preserve">Die Gewichtung dieses Thema’s ist abhängig von der Relation Gewinn zu Umsatz </t>
  </si>
  <si>
    <t>La ponderazione di questo argomento dipende dalla relazione tra utile e fatturato</t>
  </si>
  <si>
    <t>The weighting of this theme depends on the ratio profit to turnover</t>
  </si>
  <si>
    <t xml:space="preserve">La ponderación de este tema depende del cociente beneficio neto / facturación </t>
  </si>
  <si>
    <t>Die Gewichtung dieses Thema’s ist abhängig  Zugängen zum Anlagevermögen und Finanzvermögen in Relation zu der Bilanzsumme</t>
  </si>
  <si>
    <t>La ponderazione di questo tema dipende dalle aggiunte alle attività e alle attività finanziarie in relazione al totale del bilancio</t>
  </si>
  <si>
    <t>The weighting of this theme is dependent on additions to fixed-assets and financial assets in relation to the balance sheet total.</t>
  </si>
  <si>
    <t>La ponderación de este tema depende del cociente de las altas de activos fijos y financieros en relación al balance (financiero)</t>
  </si>
  <si>
    <t>Die Gewichtung dieses Thema’s ist abhängig von der Größe des Unternehmens</t>
  </si>
  <si>
    <t>La ponderazione di questo tema dipende dalle dimensioni dell'impresa</t>
  </si>
  <si>
    <t>The weighting of this theme is dependent on the size of the company.</t>
  </si>
  <si>
    <t>La ponderación de este tema depende del tamaño de la empresa</t>
  </si>
  <si>
    <t>Die Gewichtung dieses Thema’s ist abhängig von der Existenz einer Kantine für die Mehrheit der Mitarbeiter*innen sowie dem (geschätzten) durchschnittlichen Anfahrtsweg zur Arbeit.</t>
  </si>
  <si>
    <t>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</si>
  <si>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</si>
  <si>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La ponderación de este tema depende de si la empresa tiene cantina a disposición de la mayoría de los trabajadores así como del trayecto medio (estimado) al puesto de trabajo.</t>
  </si>
  <si>
    <t>Die Gewichtung dieses Thema’s ist abhängig von der Größe des Unternehmens sowie von den Mitbestimmungsrechte in den Ländern der wichtigsten Standorte (basierend auf dem ITUC-Index der International Labour Union)</t>
  </si>
  <si>
    <t>La ponderazione di questo tema dipende dalle dimensioni dell'impresa e dai diritti di partecipazione nei paesi delle sedi più importanti (in base all'indice ITUC dell'International Labour Union)</t>
  </si>
  <si>
    <t>The weighting of this theme is dependent on company size and co-determination rights in the countries of the most important supply industries (based on the ILUC index of the International Labour Union).</t>
  </si>
  <si>
    <t>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</si>
  <si>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</si>
  <si>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La ponderazione di questo tema dipende dal settore</t>
  </si>
  <si>
    <t>The weighting of this theme depends on the industry sector.</t>
  </si>
  <si>
    <t>La ponderación de este tema depende del sector de la empresa</t>
  </si>
  <si>
    <t>Die Gewichtung dieses Thema’s ist abhängig davon, ob Kund*innen in erster Linie Private oder Unternehmen sind</t>
  </si>
  <si>
    <t>La ponderazione di questo tema dipende dal fatto che i clienti siano principalmente privati o imprese</t>
  </si>
  <si>
    <t>The weighting of this theme depends on whether customers are primarily individuals or companies.</t>
  </si>
  <si>
    <t>La ponderación de este tema depende de si la empresa es principalmente B2B o B2C</t>
  </si>
  <si>
    <t>Die Gewichtung dieses Thema’s ist abhängig von der Umsatzrentabilität (Gewinn/Umsatz)</t>
  </si>
  <si>
    <t>La ponderazione di questo tema dipende dal rendimento delle vendite (profitti / fatturato)</t>
  </si>
  <si>
    <t>The weighting of this theme is dependent on the return on sales (profit/turnover).</t>
  </si>
  <si>
    <t>La ponderación de este tema depende de la rentabilidad de la empresa entendida como Beneficios / Facturación</t>
  </si>
  <si>
    <t>Die Gewichtung dieses Thenma’s ist abhängig von der Branche</t>
  </si>
  <si>
    <t>Die Gewichtung dieses Thema’s ist abhängig von der Größe sowie der Branche des Unternehmens.</t>
  </si>
  <si>
    <t>La ponderazione di questo tema dipende dalle dimensioni sia del settore che dell’impresa.</t>
  </si>
  <si>
    <t>The weighting of this theme depends on the company size and the industry sector.</t>
  </si>
  <si>
    <t>La ponderación de este tema depende tanto del tamaño de la empresa como del sector.</t>
  </si>
  <si>
    <t>A - Landwirtschaft, Forstwirtschaft und Fischerei</t>
  </si>
  <si>
    <t>A-AGRICOLTURA, SILVICOLTURA E PESCA</t>
  </si>
  <si>
    <t>A - agriculture, forestry management, fishing industry</t>
  </si>
  <si>
    <t>A – Agricultura, silvicultura y pesca</t>
  </si>
  <si>
    <t>B - Bergbau und Gewinnung von Steinen und Erden</t>
  </si>
  <si>
    <t>B-ATTIVITÀ ESTRATTIVA</t>
  </si>
  <si>
    <t>B - Mining and quarrying</t>
  </si>
  <si>
    <t>B – Explotación de minas y canteras</t>
  </si>
  <si>
    <t>C - Verarbeitendes Gewerbe (nicht weiter spezifiziert)</t>
  </si>
  <si>
    <t>C-ATTIVITÀ MANIFATTURIERE</t>
  </si>
  <si>
    <t>C - Manufacturing industries (not further specified)</t>
  </si>
  <si>
    <t>C – Indutrias manufactureras</t>
  </si>
  <si>
    <t>Ca - Produktion von Lebensmittel, Getränken und Tabak (C10,C11,C12)</t>
  </si>
  <si>
    <t>Ca-Prodotti di alimenti e bevande</t>
  </si>
  <si>
    <t>Ca - Food production, drinks and tobacco (C10, C11, C12)</t>
  </si>
  <si>
    <t>Ca – Industria de alimentación, bebidas y tabaco (C10, C11, C12)</t>
  </si>
  <si>
    <t>Cb - Produktion von Textilien, Kleidung, Leder und Produkten hieraus (C13,C14,C15)</t>
  </si>
  <si>
    <t>Cb-Prodotti di tessuti, vestiti, cuoio</t>
  </si>
  <si>
    <t>Cb - Textile production, clothing, leather and leather products (C13, C14, C15)</t>
  </si>
  <si>
    <t>Cb – Industria textil, prendas de vestir, cuero y calzado (C13, C14, C15)</t>
  </si>
  <si>
    <t>Cc - Produktion von Holz- und Papierprodukten sowie Drucksorten (C16,C17,C18)</t>
  </si>
  <si>
    <t>Cc-Prodotti di legno e carta (C16,C17,C18)</t>
  </si>
  <si>
    <t>Cc - Paper and forest products, also printed matter (C16, C17, C18)</t>
  </si>
  <si>
    <t>Cc – Industria de la madera y el corcho; cestería y espartería; papel; artes gráficas y reproducción de soportes grabados</t>
  </si>
  <si>
    <t>Cd - Produktion von petrochemischen Produkte und Kunststoffen (C19, C20;C22)</t>
  </si>
  <si>
    <t>Cd-Prodotti petrol-sintetici e plastica (C19, C20;C22)</t>
  </si>
  <si>
    <t>Cd - Production of petrochemical products and plastics (C19, C20;C22)</t>
  </si>
  <si>
    <t>Cd – Industria química; coquerías y refino de petróleo; fabricación de productos de caucho y plásticos (C19, C20, C22)</t>
  </si>
  <si>
    <t>Ce - Produktion von pharmazeutischen Produktion und Präparaten (C21)</t>
  </si>
  <si>
    <t>Ce-Prodotti farmaceutici e medicinali (C21)</t>
  </si>
  <si>
    <t>Ce - Pharmaceutical products and preparations (C21)</t>
  </si>
  <si>
    <t>Ce – Fabricación de productos farmacéuticos (C21)</t>
  </si>
  <si>
    <t>Cf - Produktion nicht metallischer Mineralstoffe (C23)</t>
  </si>
  <si>
    <t>Cf-Prodotti non metallici e minerali (C23)</t>
  </si>
  <si>
    <t>Cf - Production of non-metallic minerals (C23)</t>
  </si>
  <si>
    <t>Cf – Fabricación de otros productos minerales no metálicos (C23)</t>
  </si>
  <si>
    <t>Cg - Produktion von Metallen und metallischen Produkten (exkl. Maschinen und Geräten) (C24,C25)</t>
  </si>
  <si>
    <t>Cg-Prodotti di metalli</t>
  </si>
  <si>
    <t>Cg - Production of metal and metallic products (excl. machines and equipment) (C24, C25)</t>
  </si>
  <si>
    <t>Cg – Metalurgia; fabricación de productos de hierro, acero y ferroaleaciones; fabricación de productos metálicos, excepto maquinaria (C24, C25)</t>
  </si>
  <si>
    <t>Ch - Produktion von elektronischen, optischen und sonstigen Geräten und Bauteilen sowie Computer (C26,C27,C28)</t>
  </si>
  <si>
    <t>Ch-Prodotti elettronici ed elettrici (C26,C27,C28)</t>
  </si>
  <si>
    <t>Ch - Production of electronic equipment, instruments and components as well as computers (C26, C27, C28)</t>
  </si>
  <si>
    <t>Ch – Fabricación de productos informáticos, electrónicos y ópticos; fabricación de material y equipo eléctrico; fabricación de maquinaria y equipo (C26, C27, C28)</t>
  </si>
  <si>
    <t xml:space="preserve">D - Strom-, Gas-, Dampfversorgung und Kühlung </t>
  </si>
  <si>
    <t>D-FORNITURA DI ENERGIA ELETTRICA, GAS, VAPORE E ARIA CONDIZIONATA</t>
  </si>
  <si>
    <t>D - Electric, Gas, Steam and Refrigeration</t>
  </si>
  <si>
    <t>D – Suministro de electricidad, gas, vapor y aire acondicionado</t>
  </si>
  <si>
    <t>E - Wasserversorgung, Abfallwirtschaft</t>
  </si>
  <si>
    <t>E-FORNITURA DI ACQUA; RETI FOGNARIE, ATTIVITÀ DI TRATTAMENTO DEI RIFIUTI E RISANAMENTO</t>
  </si>
  <si>
    <t>E - Water supply, waste management</t>
  </si>
  <si>
    <t>E – Suministro de agua, alcantarillado, gestión de desechos y actividades de saneamiento</t>
  </si>
  <si>
    <t>F - Baugewerbe</t>
  </si>
  <si>
    <t>F-Costruzioni</t>
  </si>
  <si>
    <t>F - Construction industry</t>
  </si>
  <si>
    <t>F – Construcción</t>
  </si>
  <si>
    <t>G - Groß- und Einzelhandel sowie Werkstätten für Kraftfahrzeuge (Anmerkung: Groß- und Einzelhandel nicht auf KFZ beschränkt)</t>
  </si>
  <si>
    <t>G-Commercio all'ingrosso e al dettaglio, officine</t>
  </si>
  <si>
    <t>G - Wholesale and retail</t>
  </si>
  <si>
    <t>G – Comercio al por mayor y al por menor, reparación de los vehículos de motor y de las motocicletas</t>
  </si>
  <si>
    <t>H - Verkehr und Lagerhaltung</t>
  </si>
  <si>
    <t>H-TRASPORTO E MAGAZZINAGGIO</t>
  </si>
  <si>
    <t>H - Transport and warehousing</t>
  </si>
  <si>
    <t>H – Transporte y almacenamiento</t>
  </si>
  <si>
    <t>I - Beherbergung und Gastronomie</t>
  </si>
  <si>
    <t>I-SERVIZI DI ALLOGGIO E DI RISTORAZIONE</t>
  </si>
  <si>
    <t>I - Accommodation and catering</t>
  </si>
  <si>
    <t>I – Alojamiento y servicios de comida</t>
  </si>
  <si>
    <t>J - Information und Kommunikation</t>
  </si>
  <si>
    <t>J-SERVIZI DI INFORMAZIONE E COMUNICAZIONE</t>
  </si>
  <si>
    <t>J - Information and Communication</t>
  </si>
  <si>
    <t>J – Información y comunicación</t>
  </si>
  <si>
    <t>K - Kredit- und Finanzwesen</t>
  </si>
  <si>
    <t>K-ATTIVITÀ FINANZIARIE E ASSICURATIVE</t>
  </si>
  <si>
    <t>K - Financial services</t>
  </si>
  <si>
    <t>K – Actividades financieras y de seguros</t>
  </si>
  <si>
    <t>L - (Immobilienwirtschaft</t>
  </si>
  <si>
    <t>L-ATTIVITÀ IMMOBILIARI</t>
  </si>
  <si>
    <t>L - Real estate</t>
  </si>
  <si>
    <t>L – Actividades inmobiliarias</t>
  </si>
  <si>
    <t>M - Freiberufliche, wissenschaftliche und technische Dienstleistungen</t>
  </si>
  <si>
    <t>M-ATTIVITÀ PROFESSIONALI, SCIENTIFICHE E TECNICHE</t>
  </si>
  <si>
    <t>M - Professional, technical and scientific services</t>
  </si>
  <si>
    <t>M – Actividades profesionales, científicas y técnicas</t>
  </si>
  <si>
    <t>N - Administrative und unterstützende Dienstleistungen</t>
  </si>
  <si>
    <t>N-ATTIVITÀ AMMINISTRATIVE E DI SERVIZI DI SUPPORTO</t>
  </si>
  <si>
    <t>N - Administrative and support services</t>
  </si>
  <si>
    <t>N – Actividades administrativas y servicios de apoyo</t>
  </si>
  <si>
    <t>O - Öffentliche Verwaltung; Verteidigung; Sozialversicherungswesen</t>
  </si>
  <si>
    <t>O-AMMINISTRAZIONE PUBBLICA E DIFESA; ASSICURAZIONE SOCIALE OBBLIGATORIA</t>
  </si>
  <si>
    <t>O - Public administration; defence; social security</t>
  </si>
  <si>
    <t>O – Administración pública y defensa, planes de seguridad social de afiliación obligatoria</t>
  </si>
  <si>
    <t>P-ISTRUZIONE</t>
  </si>
  <si>
    <t>P - Education</t>
  </si>
  <si>
    <t>P – Enseñanza</t>
  </si>
  <si>
    <t>Q - Gesundheit und Sozialarbeit</t>
  </si>
  <si>
    <t>Q-SANITÀ E ASSISTENZA SOCIALE</t>
  </si>
  <si>
    <t>Q - Health and social work</t>
  </si>
  <si>
    <t>Q – Servicios sociales y relacionados con la salud humana</t>
  </si>
  <si>
    <t>R - Kunst, Unterhaltung und Erholung</t>
  </si>
  <si>
    <t>R-ATTIVITA' ARTISTICHE, DI INTRATTENIMENTO E DIVERTIMENTO</t>
  </si>
  <si>
    <t>R - Art, education and leisure</t>
  </si>
  <si>
    <t>R – Artes, entretenimiento y recreación</t>
  </si>
  <si>
    <t>S - Andere Dienstleistungen</t>
  </si>
  <si>
    <t>S-ALTRE ATTIVITÀ DI SERVIZI</t>
  </si>
  <si>
    <t>S - Other services</t>
  </si>
  <si>
    <t>S – Otras actividades de servicio</t>
  </si>
  <si>
    <t>T - Private Haushalte</t>
  </si>
  <si>
    <t>T-convivenze, comunità famigliari e persone singole, condimini, amministratori di condomini</t>
  </si>
  <si>
    <t>T – Actividades de los hogares en calidad de empleadores, actividades indiferenciadas de producción de bienes y servicios de los hogares para uso propio</t>
  </si>
  <si>
    <t>U - Exterritoriale Organisationen und Körperschaften</t>
  </si>
  <si>
    <t xml:space="preserve">U-ATTIVITÀ DI ORGANIZZAZIONI E ORGANISMI EXTRATERRITORIALI </t>
  </si>
  <si>
    <t>U - Extraterritorial organisations and bodies</t>
  </si>
  <si>
    <t>U – Actividades de organizaciones y órganos extraterritoriales</t>
  </si>
  <si>
    <t>Gesamt-Ausgaben an Lieferanten (in Euro):</t>
  </si>
  <si>
    <t>Spese totali per i fornitori (in euro):</t>
  </si>
  <si>
    <t>Total purchases from suppliers (in Euros):</t>
  </si>
  <si>
    <t>Gastos totales en proveedores (en Euros):</t>
  </si>
  <si>
    <t xml:space="preserve">Tragen Sie nachstehend, bitte die 5 wichtigstenBranchen ein, aus denen Sie Produkte/Dienstleistungen beziehen. </t>
  </si>
  <si>
    <t>Inserisci sotto i 5 settori più importanti da cui acquisti prodotti / servizi.</t>
  </si>
  <si>
    <t>Enter the 5 most important industry sectors whose products or services you use.</t>
  </si>
  <si>
    <t>Introduzca los 5 secoters más importantes a los que realiza compras</t>
  </si>
  <si>
    <t>Branche</t>
  </si>
  <si>
    <t>Settore</t>
  </si>
  <si>
    <t>Industry sector</t>
  </si>
  <si>
    <t>Sector</t>
  </si>
  <si>
    <t>Beschreibung</t>
  </si>
  <si>
    <t>Description</t>
  </si>
  <si>
    <t>Descripción</t>
  </si>
  <si>
    <t>regionale Herkunft</t>
  </si>
  <si>
    <t>Provenienza regionale</t>
  </si>
  <si>
    <t>Region of origin</t>
  </si>
  <si>
    <t>Región de origen</t>
  </si>
  <si>
    <t>Ausgaben</t>
  </si>
  <si>
    <t>Spese</t>
  </si>
  <si>
    <t>Costs</t>
  </si>
  <si>
    <t>Gastos</t>
  </si>
  <si>
    <t>Überwiegende Herkunft restlicher Lieferanten</t>
  </si>
  <si>
    <t>Provenienza principale degli altri fornitori</t>
  </si>
  <si>
    <t>Main origin of the other suppliers</t>
  </si>
  <si>
    <t>Región de origen principal del resto de proveedores</t>
  </si>
  <si>
    <t>Gewinn (EBIT):</t>
  </si>
  <si>
    <t>Profitto (EBIT):</t>
  </si>
  <si>
    <t>Profit</t>
  </si>
  <si>
    <t>Beneficios (EBIT)</t>
  </si>
  <si>
    <t>Finanzierungskosten</t>
  </si>
  <si>
    <t>oneri finanziari</t>
  </si>
  <si>
    <t>Financing costs</t>
  </si>
  <si>
    <t>Costes financieros</t>
  </si>
  <si>
    <t>Erträge aus Finanzanlagen</t>
  </si>
  <si>
    <t>Proventi da attività finanziarie</t>
  </si>
  <si>
    <t>Income from financial investments</t>
  </si>
  <si>
    <t>Ingresos financieros</t>
  </si>
  <si>
    <t>Bilanzaktiva</t>
  </si>
  <si>
    <t>attività stato patrimoniale</t>
  </si>
  <si>
    <t>Total assets</t>
  </si>
  <si>
    <t>Activo (balance financiero)</t>
  </si>
  <si>
    <t xml:space="preserve">Zugänge zum Anlagevermögen </t>
  </si>
  <si>
    <t>Aggiunte alle immobilizzazioni</t>
  </si>
  <si>
    <t>Additions to fixed-assets</t>
  </si>
  <si>
    <t>Altas de activos fijos</t>
  </si>
  <si>
    <t>Finanzanlagen und Barguthaben</t>
  </si>
  <si>
    <t>Attività finanziarie e saldo di cassa</t>
  </si>
  <si>
    <t>Financial assets and cash balance</t>
  </si>
  <si>
    <t>Activos financieros y saldos de caja</t>
  </si>
  <si>
    <t xml:space="preserve">Anzahl der Mitarbeitenden (in Vollzeitäquivalenten): </t>
  </si>
  <si>
    <t>Numero di collaboratori (in equivalenti a tempo pieno):</t>
  </si>
  <si>
    <t>Number of employees (full time equivalents)</t>
  </si>
  <si>
    <t>Cantidad de trabajadores (equivalentes a jornada completa)</t>
  </si>
  <si>
    <t>Personalkosten (brutto ohne Dienstgeberanteil)</t>
  </si>
  <si>
    <t>Costi del personale (lordi senza contributo del datore di lavoro)</t>
  </si>
  <si>
    <t>Staff costs (gross without employer contribution)</t>
  </si>
  <si>
    <t>Gastos de personal</t>
  </si>
  <si>
    <t>Tragen Sie bitte nachstehend jene drei Länder und Regionen ein, wo die meisten Mitarbeitenden arbeiten</t>
  </si>
  <si>
    <t>Inserisca sotto i tre paesi e le regioni in cui lavora la maggior parte dei collaboratori</t>
  </si>
  <si>
    <t>Enter the 3 countries and regions where most of the staff are</t>
  </si>
  <si>
    <t>Introduzca los 3 países y regiones de los que la mayoría de trabajadores provienen</t>
  </si>
  <si>
    <t>Land &amp; Region</t>
  </si>
  <si>
    <t>Paese e Regione</t>
  </si>
  <si>
    <t>Country and region</t>
  </si>
  <si>
    <t>País y región</t>
  </si>
  <si>
    <t xml:space="preserve">Anteil in % </t>
  </si>
  <si>
    <t>Percentulale %</t>
  </si>
  <si>
    <t>Amount in %</t>
  </si>
  <si>
    <t>Porcentaje %</t>
  </si>
  <si>
    <t>Durchschnittlicher Arbeitsweg der Mitarbeitenden (in km):</t>
  </si>
  <si>
    <t>Distanza media al posto di lavoro dei collaboratori (in km):</t>
  </si>
  <si>
    <t>Average journey to work for staff (in km)</t>
  </si>
  <si>
    <t>Trayecto medio de los trabajadores a su lugar de trabajo (km):</t>
  </si>
  <si>
    <t>Gibt es eine Kantine für die Mehrheit der Mitarbeitenden?</t>
  </si>
  <si>
    <t>C'è una mensa per la maggior parte dei collaboratori?</t>
  </si>
  <si>
    <t>Is there a canteen for the majority of staff?</t>
  </si>
  <si>
    <t>¿Hay cantina para la mayoría de los trabajadores?</t>
  </si>
  <si>
    <t>Umsatz (in Euro)</t>
  </si>
  <si>
    <t>fatturato (in euro)</t>
  </si>
  <si>
    <t>Turnover (in Euros)</t>
  </si>
  <si>
    <t>Facturación (en euros)</t>
  </si>
  <si>
    <t>Haben Sie nahezu ausschließlich Unternehmen als Kunden</t>
  </si>
  <si>
    <t>Ha aziende quasi esclusivamente come clienti?</t>
  </si>
  <si>
    <t>Are your customers mainly other companies?</t>
  </si>
  <si>
    <t>¿Sus clientes son en su mayoría empresas?</t>
  </si>
  <si>
    <t>Tragen Sie nachstehend, bitte die 3 wichtigsten Branchen ein, in denen Ihr Unternehmen tätig ist, inklusive ungefährem Umsatzanteil</t>
  </si>
  <si>
    <t>Di seguito, descriva i 3 settori più importanti in cui opera la Sua azienda, inclusa la quota di fatturato approssimativa</t>
  </si>
  <si>
    <t>Enter the 3 most important industry sectors which your company is active in, including a rough share of turnover</t>
  </si>
  <si>
    <t>Introduzca los 3 sectores más importantes en los que opera su empresa incluyendo la facturación aprox. correspondiente</t>
  </si>
  <si>
    <t>descrizione</t>
  </si>
  <si>
    <t>% Anteil am Gesamtumsatz</t>
  </si>
  <si>
    <t>Quota % al fatturato</t>
  </si>
  <si>
    <t>% Amount of total turnover</t>
  </si>
  <si>
    <t>% sobre la facturación total</t>
  </si>
  <si>
    <t xml:space="preserve">Unternehmensgrösse </t>
  </si>
  <si>
    <t>dimensioni dell'azienda</t>
  </si>
  <si>
    <t>Company size</t>
  </si>
  <si>
    <t>Tamaño de la empresa</t>
  </si>
  <si>
    <t>Kleinstunternehmen</t>
  </si>
  <si>
    <t>microimpresa</t>
  </si>
  <si>
    <t>Micro-business</t>
  </si>
  <si>
    <t>Microempresa</t>
  </si>
  <si>
    <t>Kleinunternehmen</t>
  </si>
  <si>
    <t>Piccola impresa</t>
  </si>
  <si>
    <t>Small business</t>
  </si>
  <si>
    <t>Pequeña empresa</t>
  </si>
  <si>
    <t>Mittleres Unternehmen</t>
  </si>
  <si>
    <t>Impresa media</t>
  </si>
  <si>
    <t>Medium business</t>
  </si>
  <si>
    <t>Mediana empresa</t>
  </si>
  <si>
    <t>Grossunternehmen</t>
  </si>
  <si>
    <t>Grande impresa</t>
  </si>
  <si>
    <t>Large business</t>
  </si>
  <si>
    <t>Gran empresa</t>
  </si>
  <si>
    <t xml:space="preserve">In diesem Tabellenblatt wird die Gemeinwohlbilanz berechnet. </t>
  </si>
  <si>
    <t>In questo foglio viene calcolato il punteggio del bilancio del bene comune.</t>
  </si>
  <si>
    <t>Introduzca descripción de la tabla: en esta hoja se calcula la puntuación del balance del Bien Común.</t>
  </si>
  <si>
    <t>Skalenwert eingeben: Wert muss im Bereich von 0 bis 10 liegen.</t>
  </si>
  <si>
    <t xml:space="preserve">Inserisca un valore di scala da 0 a 10 </t>
  </si>
  <si>
    <t>Introduzca puntuación. El valor debe encontrarse entre 0 y 10.</t>
  </si>
  <si>
    <t>Negativpunkte eingeben: Werte müssen im Bereich von -200 bis 0 liegen.</t>
  </si>
  <si>
    <t xml:space="preserve">Inserisca un punteggio negativo da 0 a -200 </t>
  </si>
  <si>
    <t>Introduzca puntuación negativa. El valor debe encontrarse entre -200 y 0.</t>
  </si>
  <si>
    <t>globaler Durchschnitt</t>
  </si>
  <si>
    <t>media globale</t>
  </si>
  <si>
    <t>Media global</t>
  </si>
  <si>
    <t>Bitte auswählen</t>
  </si>
  <si>
    <t>Seleccione el país</t>
  </si>
  <si>
    <t>Afrika</t>
  </si>
  <si>
    <t>África</t>
  </si>
  <si>
    <t>Nord-Afrika und Mittlere Osten</t>
  </si>
  <si>
    <t>Nord-Africa e Medio Oriente</t>
  </si>
  <si>
    <t>Norte de África y Oriente Medio</t>
  </si>
  <si>
    <t>Latein-Amerika</t>
  </si>
  <si>
    <t>Latino-America</t>
  </si>
  <si>
    <t>Latinoamérica</t>
  </si>
  <si>
    <t>Nord-Amerika &amp; Ozeanien</t>
  </si>
  <si>
    <t>Nord-America e Ozeania</t>
  </si>
  <si>
    <t>Norteamérica y Oceanía</t>
  </si>
  <si>
    <t>Asien</t>
  </si>
  <si>
    <t>Europa</t>
  </si>
  <si>
    <t>.aw</t>
  </si>
  <si>
    <t>AW</t>
  </si>
  <si>
    <t xml:space="preserve">Aruba </t>
  </si>
  <si>
    <t>.af</t>
  </si>
  <si>
    <t>AF</t>
  </si>
  <si>
    <t xml:space="preserve">Afghanistan </t>
  </si>
  <si>
    <t>Afganistán</t>
  </si>
  <si>
    <t>.ao</t>
  </si>
  <si>
    <t>AO</t>
  </si>
  <si>
    <t xml:space="preserve">Angola </t>
  </si>
  <si>
    <t>.al</t>
  </si>
  <si>
    <t>AL</t>
  </si>
  <si>
    <t>Albanien</t>
  </si>
  <si>
    <t xml:space="preserve">Albania </t>
  </si>
  <si>
    <t>Albanie</t>
  </si>
  <si>
    <t>.ad</t>
  </si>
  <si>
    <t>AD</t>
  </si>
  <si>
    <t xml:space="preserve">Andorra </t>
  </si>
  <si>
    <t>Andorre</t>
  </si>
  <si>
    <t>.ae</t>
  </si>
  <si>
    <t>AE</t>
  </si>
  <si>
    <t>Vereinigte Arabische Emirate</t>
  </si>
  <si>
    <t xml:space="preserve">Emirati Arabi Uniti </t>
  </si>
  <si>
    <t xml:space="preserve">United Arab Emirates </t>
  </si>
  <si>
    <t>Emiratos Árabes Unidos</t>
  </si>
  <si>
    <t>Émirats Arabes Unis</t>
  </si>
  <si>
    <t>.ar</t>
  </si>
  <si>
    <t>AR</t>
  </si>
  <si>
    <t>Argentinien</t>
  </si>
  <si>
    <t xml:space="preserve">Argentina </t>
  </si>
  <si>
    <t>Argentine</t>
  </si>
  <si>
    <t>.am</t>
  </si>
  <si>
    <t>AM</t>
  </si>
  <si>
    <t>Armenien</t>
  </si>
  <si>
    <t xml:space="preserve">Armenia </t>
  </si>
  <si>
    <t>Arménie</t>
  </si>
  <si>
    <t>.as</t>
  </si>
  <si>
    <t>AS</t>
  </si>
  <si>
    <t>Amerikanisch-Samoa</t>
  </si>
  <si>
    <t xml:space="preserve">Samoa americane </t>
  </si>
  <si>
    <t xml:space="preserve">American Samoa </t>
  </si>
  <si>
    <t>Samoa Americana</t>
  </si>
  <si>
    <t>Samoa américaines</t>
  </si>
  <si>
    <t>.ag</t>
  </si>
  <si>
    <t>AG</t>
  </si>
  <si>
    <t>Antigua und Barbuda</t>
  </si>
  <si>
    <t xml:space="preserve">Antigua e Barbuda </t>
  </si>
  <si>
    <t xml:space="preserve">Antigua and Barbuda </t>
  </si>
  <si>
    <t>Antigua y Barbuda</t>
  </si>
  <si>
    <t>Antigua-et-Barbuda</t>
  </si>
  <si>
    <t>.au</t>
  </si>
  <si>
    <t>AU</t>
  </si>
  <si>
    <t>Australien</t>
  </si>
  <si>
    <t xml:space="preserve">Australia </t>
  </si>
  <si>
    <t>Australie</t>
  </si>
  <si>
    <t>.at</t>
  </si>
  <si>
    <t>AT</t>
  </si>
  <si>
    <t>Österreich</t>
  </si>
  <si>
    <t xml:space="preserve">Austria </t>
  </si>
  <si>
    <t>Autriche</t>
  </si>
  <si>
    <t>.az</t>
  </si>
  <si>
    <t>AZ</t>
  </si>
  <si>
    <t>Aserbaidschan</t>
  </si>
  <si>
    <t xml:space="preserve">Azerbaigian </t>
  </si>
  <si>
    <t xml:space="preserve">Azerbaijan </t>
  </si>
  <si>
    <t>Azerbaiyán</t>
  </si>
  <si>
    <t>Azerbaïdjan</t>
  </si>
  <si>
    <t>.bi</t>
  </si>
  <si>
    <t>BI</t>
  </si>
  <si>
    <t xml:space="preserve">Burundi </t>
  </si>
  <si>
    <t>.be</t>
  </si>
  <si>
    <t>BE</t>
  </si>
  <si>
    <t>Belgien</t>
  </si>
  <si>
    <t xml:space="preserve">Belgio </t>
  </si>
  <si>
    <t xml:space="preserve">Belgium </t>
  </si>
  <si>
    <t>Bélgica</t>
  </si>
  <si>
    <t>Belgique</t>
  </si>
  <si>
    <t>.bj</t>
  </si>
  <si>
    <t>BJ</t>
  </si>
  <si>
    <t xml:space="preserve">Benin </t>
  </si>
  <si>
    <t>Benín</t>
  </si>
  <si>
    <t>Bénin</t>
  </si>
  <si>
    <t>.bf</t>
  </si>
  <si>
    <t>BF</t>
  </si>
  <si>
    <t xml:space="preserve">Burkina Faso </t>
  </si>
  <si>
    <t>.bd</t>
  </si>
  <si>
    <t>BD</t>
  </si>
  <si>
    <t>Bangladesch</t>
  </si>
  <si>
    <t xml:space="preserve">Bangladesh </t>
  </si>
  <si>
    <t>Bangladés</t>
  </si>
  <si>
    <t>.bg</t>
  </si>
  <si>
    <t>BG</t>
  </si>
  <si>
    <t>Bulgarien</t>
  </si>
  <si>
    <t xml:space="preserve">Bulgaria </t>
  </si>
  <si>
    <t>Bulgarie</t>
  </si>
  <si>
    <t>.bh</t>
  </si>
  <si>
    <t>BH</t>
  </si>
  <si>
    <t xml:space="preserve">Bahrain </t>
  </si>
  <si>
    <t>Baréin</t>
  </si>
  <si>
    <t>Bahreïn</t>
  </si>
  <si>
    <t>.bs</t>
  </si>
  <si>
    <t>BS</t>
  </si>
  <si>
    <t>Bahamas</t>
  </si>
  <si>
    <t xml:space="preserve">Bahamas </t>
  </si>
  <si>
    <t>.ba</t>
  </si>
  <si>
    <t>BA</t>
  </si>
  <si>
    <t>Bosnien und Herzegowina</t>
  </si>
  <si>
    <t xml:space="preserve">Bosnia ed Erzegovina </t>
  </si>
  <si>
    <t xml:space="preserve">Bosnia and Herzegovina </t>
  </si>
  <si>
    <t>Bosnia y Herzegovina</t>
  </si>
  <si>
    <t>Bosnie-Herzégovine</t>
  </si>
  <si>
    <t>.by</t>
  </si>
  <si>
    <t>BY</t>
  </si>
  <si>
    <t xml:space="preserve">Bielorussia </t>
  </si>
  <si>
    <t xml:space="preserve">Belarus </t>
  </si>
  <si>
    <t>Bielorrusia</t>
  </si>
  <si>
    <t>Biélorussie</t>
  </si>
  <si>
    <t>.bz</t>
  </si>
  <si>
    <t>BZ</t>
  </si>
  <si>
    <t xml:space="preserve">Belize </t>
  </si>
  <si>
    <t>Belice</t>
  </si>
  <si>
    <t>.bm</t>
  </si>
  <si>
    <t>BM</t>
  </si>
  <si>
    <t xml:space="preserve">Bermuda </t>
  </si>
  <si>
    <t>Bermudas</t>
  </si>
  <si>
    <t>Bermudes</t>
  </si>
  <si>
    <t>.bo</t>
  </si>
  <si>
    <t>BO</t>
  </si>
  <si>
    <t>Bolivien</t>
  </si>
  <si>
    <t xml:space="preserve">Bolivia </t>
  </si>
  <si>
    <t xml:space="preserve">Bolivia, Plurinational State of </t>
  </si>
  <si>
    <t>Bolivie</t>
  </si>
  <si>
    <t>.br</t>
  </si>
  <si>
    <t>BR</t>
  </si>
  <si>
    <t>Brasilien</t>
  </si>
  <si>
    <t xml:space="preserve">Brasile </t>
  </si>
  <si>
    <t xml:space="preserve">Brazil </t>
  </si>
  <si>
    <t>Brasil</t>
  </si>
  <si>
    <t>Brésil</t>
  </si>
  <si>
    <t>.bb</t>
  </si>
  <si>
    <t>BB</t>
  </si>
  <si>
    <t xml:space="preserve">Barbados </t>
  </si>
  <si>
    <t>Barbades</t>
  </si>
  <si>
    <t>.bn</t>
  </si>
  <si>
    <t>BN</t>
  </si>
  <si>
    <t xml:space="preserve">Brunei </t>
  </si>
  <si>
    <t xml:space="preserve">Brunei Darussalam </t>
  </si>
  <si>
    <t>Brunéi</t>
  </si>
  <si>
    <t>Brunei</t>
  </si>
  <si>
    <t>.bt</t>
  </si>
  <si>
    <t>BT</t>
  </si>
  <si>
    <t xml:space="preserve">Bhutan </t>
  </si>
  <si>
    <t>Bután</t>
  </si>
  <si>
    <t>Bhoutan</t>
  </si>
  <si>
    <t>.bw</t>
  </si>
  <si>
    <t>BW</t>
  </si>
  <si>
    <t xml:space="preserve">Botswana </t>
  </si>
  <si>
    <t>Botsuana</t>
  </si>
  <si>
    <t>.cf</t>
  </si>
  <si>
    <t>CF</t>
  </si>
  <si>
    <t>Zentralafrikanische Republik</t>
  </si>
  <si>
    <t xml:space="preserve">Repubblica Centrafricana </t>
  </si>
  <si>
    <t xml:space="preserve">Central African Republic </t>
  </si>
  <si>
    <t>República Centroafricana</t>
  </si>
  <si>
    <t>.ca</t>
  </si>
  <si>
    <t>CA</t>
  </si>
  <si>
    <t>Kanada</t>
  </si>
  <si>
    <t xml:space="preserve">Canada </t>
  </si>
  <si>
    <t>Canadá</t>
  </si>
  <si>
    <t>.ch</t>
  </si>
  <si>
    <t>CH</t>
  </si>
  <si>
    <t>Schweiz (Confoederatio Helvetica)</t>
  </si>
  <si>
    <t xml:space="preserve">della Svizzera Svizzera </t>
  </si>
  <si>
    <t xml:space="preserve">Switzerland </t>
  </si>
  <si>
    <t>Suiza</t>
  </si>
  <si>
    <t>.cl</t>
  </si>
  <si>
    <t>CL</t>
  </si>
  <si>
    <t xml:space="preserve">Cile </t>
  </si>
  <si>
    <t xml:space="preserve">Chile </t>
  </si>
  <si>
    <t>Chili</t>
  </si>
  <si>
    <t>.cn</t>
  </si>
  <si>
    <t>CN</t>
  </si>
  <si>
    <t>China, Volksrepublik</t>
  </si>
  <si>
    <t xml:space="preserve">Cina </t>
  </si>
  <si>
    <t xml:space="preserve">China </t>
  </si>
  <si>
    <t>Chine</t>
  </si>
  <si>
    <t>.ci</t>
  </si>
  <si>
    <t>CI</t>
  </si>
  <si>
    <t>Côte d’Ivoire (Elfenbeinküste)</t>
  </si>
  <si>
    <t xml:space="preserve">Costa d'Avorio </t>
  </si>
  <si>
    <t xml:space="preserve">Côte d'Ivoire </t>
  </si>
  <si>
    <t>Costa de Marfil</t>
  </si>
  <si>
    <t>Côte-d'Ivoire</t>
  </si>
  <si>
    <t>.cm</t>
  </si>
  <si>
    <t>CM</t>
  </si>
  <si>
    <t>Kamerun</t>
  </si>
  <si>
    <t xml:space="preserve">Camerun </t>
  </si>
  <si>
    <t xml:space="preserve">Cameroon </t>
  </si>
  <si>
    <t>Camerún</t>
  </si>
  <si>
    <t>Cameroun</t>
  </si>
  <si>
    <t>.cd</t>
  </si>
  <si>
    <t>CD</t>
  </si>
  <si>
    <t>Kongo, Demokratische Republik (ehem. Zaire)</t>
  </si>
  <si>
    <t xml:space="preserve">Repubblica Democratica del Congo </t>
  </si>
  <si>
    <t xml:space="preserve">Congo, the Democratic Republic of the </t>
  </si>
  <si>
    <t>Rep. Dem. del Congo</t>
  </si>
  <si>
    <t>République démocratique du Congo</t>
  </si>
  <si>
    <t>.cg</t>
  </si>
  <si>
    <t>CG</t>
  </si>
  <si>
    <t>Republik Kongo</t>
  </si>
  <si>
    <t xml:space="preserve">Repubblica del Congo </t>
  </si>
  <si>
    <t xml:space="preserve">Congo </t>
  </si>
  <si>
    <t>República del Congo</t>
  </si>
  <si>
    <t>République du Congo</t>
  </si>
  <si>
    <t>.co</t>
  </si>
  <si>
    <t>CO</t>
  </si>
  <si>
    <t>Kolumbien</t>
  </si>
  <si>
    <t xml:space="preserve">Colombia </t>
  </si>
  <si>
    <t>Colombie</t>
  </si>
  <si>
    <t>.km</t>
  </si>
  <si>
    <t>KM</t>
  </si>
  <si>
    <t>Komoren</t>
  </si>
  <si>
    <t xml:space="preserve">Comore </t>
  </si>
  <si>
    <t xml:space="preserve">Comoros </t>
  </si>
  <si>
    <t>Comoras</t>
  </si>
  <si>
    <t>Comores</t>
  </si>
  <si>
    <t>.cv</t>
  </si>
  <si>
    <t>CV</t>
  </si>
  <si>
    <t>Kap Verde</t>
  </si>
  <si>
    <t xml:space="preserve">Capo Verde </t>
  </si>
  <si>
    <t xml:space="preserve">Cape Verde </t>
  </si>
  <si>
    <t>Cap vert</t>
  </si>
  <si>
    <t>.cr</t>
  </si>
  <si>
    <t>CR</t>
  </si>
  <si>
    <t xml:space="preserve">Costa Rica </t>
  </si>
  <si>
    <t>.cu</t>
  </si>
  <si>
    <t>CU</t>
  </si>
  <si>
    <t>Kuba</t>
  </si>
  <si>
    <t xml:space="preserve">Cuba </t>
  </si>
  <si>
    <t>.cw</t>
  </si>
  <si>
    <t>CW</t>
  </si>
  <si>
    <t>Curaçao</t>
  </si>
  <si>
    <t xml:space="preserve">Curaçao </t>
  </si>
  <si>
    <t>Curazao</t>
  </si>
  <si>
    <t>.ky</t>
  </si>
  <si>
    <t>KY</t>
  </si>
  <si>
    <t>Kaimaninseln</t>
  </si>
  <si>
    <t xml:space="preserve">Isole Cayman </t>
  </si>
  <si>
    <t xml:space="preserve">Cayman Islands </t>
  </si>
  <si>
    <t>Islas Caimán</t>
  </si>
  <si>
    <t>Îles Caïmans</t>
  </si>
  <si>
    <t>.cy</t>
  </si>
  <si>
    <t>CY</t>
  </si>
  <si>
    <t>Zypern</t>
  </si>
  <si>
    <t xml:space="preserve">Cipro </t>
  </si>
  <si>
    <t xml:space="preserve">Cyprus </t>
  </si>
  <si>
    <t>Chipre</t>
  </si>
  <si>
    <t>Chypre</t>
  </si>
  <si>
    <t>.cz</t>
  </si>
  <si>
    <t>CZ</t>
  </si>
  <si>
    <t>Tschechische Republik</t>
  </si>
  <si>
    <t xml:space="preserve">Repubblica Ceca </t>
  </si>
  <si>
    <t xml:space="preserve">Czech Republic </t>
  </si>
  <si>
    <t>República Checa</t>
  </si>
  <si>
    <t>République Tchèque</t>
  </si>
  <si>
    <t>.de</t>
  </si>
  <si>
    <t>DE</t>
  </si>
  <si>
    <t>Deutschland</t>
  </si>
  <si>
    <t xml:space="preserve">Germania </t>
  </si>
  <si>
    <t xml:space="preserve">Germany </t>
  </si>
  <si>
    <t>Alemania</t>
  </si>
  <si>
    <t>Allemagne</t>
  </si>
  <si>
    <t>.dj</t>
  </si>
  <si>
    <t>DJ</t>
  </si>
  <si>
    <t>Dschibuti</t>
  </si>
  <si>
    <t xml:space="preserve">Gibuti </t>
  </si>
  <si>
    <t xml:space="preserve">Djibouti </t>
  </si>
  <si>
    <t>Yibuti</t>
  </si>
  <si>
    <t>.dm</t>
  </si>
  <si>
    <t>DM</t>
  </si>
  <si>
    <t xml:space="preserve">Dominica </t>
  </si>
  <si>
    <t>Dominique</t>
  </si>
  <si>
    <t>.dk</t>
  </si>
  <si>
    <t>DK</t>
  </si>
  <si>
    <t>Dänemark</t>
  </si>
  <si>
    <t xml:space="preserve">Danimarca </t>
  </si>
  <si>
    <t xml:space="preserve">Denmark </t>
  </si>
  <si>
    <t>Dinamarca</t>
  </si>
  <si>
    <t>Danemark</t>
  </si>
  <si>
    <t>.do</t>
  </si>
  <si>
    <t>DO</t>
  </si>
  <si>
    <t>Dominikanische Republik</t>
  </si>
  <si>
    <t xml:space="preserve">Repubblica Dominicana </t>
  </si>
  <si>
    <t xml:space="preserve">Dominican Republic </t>
  </si>
  <si>
    <t>República Dominicana</t>
  </si>
  <si>
    <t>République Dominicaine</t>
  </si>
  <si>
    <t>.dz</t>
  </si>
  <si>
    <t>DZ</t>
  </si>
  <si>
    <t>Algerien</t>
  </si>
  <si>
    <t xml:space="preserve">Algeria </t>
  </si>
  <si>
    <t>Argelia</t>
  </si>
  <si>
    <t>Algérie</t>
  </si>
  <si>
    <t>.ec</t>
  </si>
  <si>
    <t>EC</t>
  </si>
  <si>
    <t xml:space="preserve">Ecuador </t>
  </si>
  <si>
    <t>Équateur</t>
  </si>
  <si>
    <t>.eg</t>
  </si>
  <si>
    <t>EG</t>
  </si>
  <si>
    <t>Ägypten</t>
  </si>
  <si>
    <t xml:space="preserve">Egitto </t>
  </si>
  <si>
    <t xml:space="preserve">Egypt </t>
  </si>
  <si>
    <t>Egipto</t>
  </si>
  <si>
    <t>Égypte</t>
  </si>
  <si>
    <t>.er</t>
  </si>
  <si>
    <t>ER</t>
  </si>
  <si>
    <t xml:space="preserve">Eritrea </t>
  </si>
  <si>
    <t>Érythrée</t>
  </si>
  <si>
    <t>.es</t>
  </si>
  <si>
    <t>ES</t>
  </si>
  <si>
    <t>Spanien</t>
  </si>
  <si>
    <t xml:space="preserve">Spagna </t>
  </si>
  <si>
    <t xml:space="preserve">Spain </t>
  </si>
  <si>
    <t>España</t>
  </si>
  <si>
    <t>Espagne</t>
  </si>
  <si>
    <t>.ee</t>
  </si>
  <si>
    <t>EE</t>
  </si>
  <si>
    <t>Estland</t>
  </si>
  <si>
    <t xml:space="preserve">Estonia </t>
  </si>
  <si>
    <t>Estonie</t>
  </si>
  <si>
    <t>.et</t>
  </si>
  <si>
    <t>ET</t>
  </si>
  <si>
    <t>Äthiopien</t>
  </si>
  <si>
    <t xml:space="preserve">Etiopia </t>
  </si>
  <si>
    <t xml:space="preserve">Ethiopia </t>
  </si>
  <si>
    <t>Etiopía</t>
  </si>
  <si>
    <t>Éthiopie</t>
  </si>
  <si>
    <t>.fi</t>
  </si>
  <si>
    <t>FI</t>
  </si>
  <si>
    <t>Finnland</t>
  </si>
  <si>
    <t xml:space="preserve">Finlandia </t>
  </si>
  <si>
    <t xml:space="preserve">Finland </t>
  </si>
  <si>
    <t>Finlandia</t>
  </si>
  <si>
    <t>Finlande</t>
  </si>
  <si>
    <t>.fj</t>
  </si>
  <si>
    <t>FJ</t>
  </si>
  <si>
    <t>Fidschi</t>
  </si>
  <si>
    <t xml:space="preserve">Figi </t>
  </si>
  <si>
    <t xml:space="preserve">Fiji </t>
  </si>
  <si>
    <t>Fiyi</t>
  </si>
  <si>
    <t>.fr</t>
  </si>
  <si>
    <t>FR</t>
  </si>
  <si>
    <t>Frankreich</t>
  </si>
  <si>
    <t xml:space="preserve">Francia </t>
  </si>
  <si>
    <t xml:space="preserve">France </t>
  </si>
  <si>
    <t>Francia</t>
  </si>
  <si>
    <t>.fo</t>
  </si>
  <si>
    <t>FO</t>
  </si>
  <si>
    <t>Färöer</t>
  </si>
  <si>
    <t xml:space="preserve">Isole Fær Øer </t>
  </si>
  <si>
    <t xml:space="preserve">Faroe Islands </t>
  </si>
  <si>
    <t>Islas Feroe</t>
  </si>
  <si>
    <t>Îles Féroé</t>
  </si>
  <si>
    <t>.fm</t>
  </si>
  <si>
    <t>FM</t>
  </si>
  <si>
    <t>Mikronesien</t>
  </si>
  <si>
    <t xml:space="preserve">Micronesia </t>
  </si>
  <si>
    <t xml:space="preserve">Micronesia, Federated States of </t>
  </si>
  <si>
    <t>Micronesia</t>
  </si>
  <si>
    <t>Micronésie</t>
  </si>
  <si>
    <t>.ga</t>
  </si>
  <si>
    <t>GA</t>
  </si>
  <si>
    <t>Gabun</t>
  </si>
  <si>
    <t xml:space="preserve">Gabon </t>
  </si>
  <si>
    <t>Gabón</t>
  </si>
  <si>
    <t>.uk</t>
  </si>
  <si>
    <t>GB</t>
  </si>
  <si>
    <t>Vereinigtes Königreich Großbritannien und Nordirland</t>
  </si>
  <si>
    <t xml:space="preserve">Regno Unito </t>
  </si>
  <si>
    <t xml:space="preserve">United Kingdom </t>
  </si>
  <si>
    <t>Reino Unido</t>
  </si>
  <si>
    <t>Royaume-Uni</t>
  </si>
  <si>
    <t>.ge</t>
  </si>
  <si>
    <t>GE</t>
  </si>
  <si>
    <t>Georgien</t>
  </si>
  <si>
    <t xml:space="preserve">Georgia </t>
  </si>
  <si>
    <t>État de Géorgie</t>
  </si>
  <si>
    <t>.gh</t>
  </si>
  <si>
    <t>GH</t>
  </si>
  <si>
    <t xml:space="preserve">Ghana </t>
  </si>
  <si>
    <t>.gi</t>
  </si>
  <si>
    <t>GI</t>
  </si>
  <si>
    <t xml:space="preserve">Gibilterra </t>
  </si>
  <si>
    <t xml:space="preserve">Gibraltar </t>
  </si>
  <si>
    <t>Gribraltar</t>
  </si>
  <si>
    <t>.gn</t>
  </si>
  <si>
    <t>GN</t>
  </si>
  <si>
    <t xml:space="preserve">Guinea </t>
  </si>
  <si>
    <t>Guinée</t>
  </si>
  <si>
    <t>.gm</t>
  </si>
  <si>
    <t>GM</t>
  </si>
  <si>
    <t>Gambia</t>
  </si>
  <si>
    <t xml:space="preserve">Gambia </t>
  </si>
  <si>
    <t>Gambie</t>
  </si>
  <si>
    <t>.gw</t>
  </si>
  <si>
    <t>GW</t>
  </si>
  <si>
    <t xml:space="preserve">Guinea-Bissau </t>
  </si>
  <si>
    <t>Guinea-Bisáu</t>
  </si>
  <si>
    <t>Guinée-Bissau</t>
  </si>
  <si>
    <t>.gq</t>
  </si>
  <si>
    <t>GQ</t>
  </si>
  <si>
    <t>Äquatorialguinea</t>
  </si>
  <si>
    <t xml:space="preserve">Guinea Equatoriale </t>
  </si>
  <si>
    <t xml:space="preserve">Equatorial Guinea </t>
  </si>
  <si>
    <t>Guinea Ecuatorial</t>
  </si>
  <si>
    <t>Guinée équatoriale</t>
  </si>
  <si>
    <t>.gr</t>
  </si>
  <si>
    <t>GR</t>
  </si>
  <si>
    <t>Griechenland</t>
  </si>
  <si>
    <t xml:space="preserve">Grecia </t>
  </si>
  <si>
    <t xml:space="preserve">Greece </t>
  </si>
  <si>
    <t>Grecia</t>
  </si>
  <si>
    <t>Grèce</t>
  </si>
  <si>
    <t>.gd</t>
  </si>
  <si>
    <t>GD</t>
  </si>
  <si>
    <t xml:space="preserve">Grenada </t>
  </si>
  <si>
    <t>Granada</t>
  </si>
  <si>
    <t>Grenade</t>
  </si>
  <si>
    <t>.gl</t>
  </si>
  <si>
    <t>GL</t>
  </si>
  <si>
    <t>Grönland</t>
  </si>
  <si>
    <t xml:space="preserve">Groenlandia </t>
  </si>
  <si>
    <t xml:space="preserve">Greenland </t>
  </si>
  <si>
    <t>Groenlandia</t>
  </si>
  <si>
    <t>Groenland</t>
  </si>
  <si>
    <t>.gt</t>
  </si>
  <si>
    <t>GT</t>
  </si>
  <si>
    <t xml:space="preserve">Guatemala </t>
  </si>
  <si>
    <t>Guatémala</t>
  </si>
  <si>
    <t>.gu</t>
  </si>
  <si>
    <t>GU</t>
  </si>
  <si>
    <t xml:space="preserve">Guam </t>
  </si>
  <si>
    <t>.gy</t>
  </si>
  <si>
    <t>GY</t>
  </si>
  <si>
    <t xml:space="preserve">Guyana </t>
  </si>
  <si>
    <t>Guyane</t>
  </si>
  <si>
    <t>.hk</t>
  </si>
  <si>
    <t>HK</t>
  </si>
  <si>
    <t>Hongkong</t>
  </si>
  <si>
    <t xml:space="preserve">Hong Kong </t>
  </si>
  <si>
    <t>Hong Kong</t>
  </si>
  <si>
    <t>.hn</t>
  </si>
  <si>
    <t>HN</t>
  </si>
  <si>
    <t xml:space="preserve">Honduras </t>
  </si>
  <si>
    <t>.hr</t>
  </si>
  <si>
    <t>HR</t>
  </si>
  <si>
    <t>Kroatien</t>
  </si>
  <si>
    <t xml:space="preserve">Croazia </t>
  </si>
  <si>
    <t xml:space="preserve">Croatia </t>
  </si>
  <si>
    <t>Croacia</t>
  </si>
  <si>
    <t>Croatie</t>
  </si>
  <si>
    <t>.ht</t>
  </si>
  <si>
    <t>HT</t>
  </si>
  <si>
    <t xml:space="preserve">Haiti </t>
  </si>
  <si>
    <t>Haití</t>
  </si>
  <si>
    <t>Haïti</t>
  </si>
  <si>
    <t>.hu</t>
  </si>
  <si>
    <t>HU</t>
  </si>
  <si>
    <t>Ungarn</t>
  </si>
  <si>
    <t xml:space="preserve">Ungheria </t>
  </si>
  <si>
    <t xml:space="preserve">Hungary </t>
  </si>
  <si>
    <t>Hungría</t>
  </si>
  <si>
    <t>Hongrie</t>
  </si>
  <si>
    <t>.id</t>
  </si>
  <si>
    <t>ID</t>
  </si>
  <si>
    <t>Indonesien</t>
  </si>
  <si>
    <t xml:space="preserve">Indonesia </t>
  </si>
  <si>
    <t>Indonésie</t>
  </si>
  <si>
    <t>.im</t>
  </si>
  <si>
    <t>IM</t>
  </si>
  <si>
    <t>Insel Man</t>
  </si>
  <si>
    <t xml:space="preserve">Isola di Man </t>
  </si>
  <si>
    <t xml:space="preserve">Isle of Man </t>
  </si>
  <si>
    <t>Isla de Man</t>
  </si>
  <si>
    <t>Île de Man</t>
  </si>
  <si>
    <t>.in</t>
  </si>
  <si>
    <t>IN</t>
  </si>
  <si>
    <t>Indien</t>
  </si>
  <si>
    <t xml:space="preserve">India </t>
  </si>
  <si>
    <t>Inde</t>
  </si>
  <si>
    <t>.ie</t>
  </si>
  <si>
    <t>IE</t>
  </si>
  <si>
    <t>Irland</t>
  </si>
  <si>
    <t xml:space="preserve">Irlanda </t>
  </si>
  <si>
    <t xml:space="preserve">Ireland </t>
  </si>
  <si>
    <t>Irlanda</t>
  </si>
  <si>
    <t>Irlande</t>
  </si>
  <si>
    <t>.ir</t>
  </si>
  <si>
    <t>IR</t>
  </si>
  <si>
    <t>Iran, Islamische Republik</t>
  </si>
  <si>
    <t xml:space="preserve">Iran </t>
  </si>
  <si>
    <t xml:space="preserve">Iran, Islamic Republic of </t>
  </si>
  <si>
    <t>Irán</t>
  </si>
  <si>
    <t>Iran</t>
  </si>
  <si>
    <t>.iq</t>
  </si>
  <si>
    <t>IQ</t>
  </si>
  <si>
    <t>Irak</t>
  </si>
  <si>
    <t xml:space="preserve">Iraq </t>
  </si>
  <si>
    <t>.is</t>
  </si>
  <si>
    <t>IS</t>
  </si>
  <si>
    <t>Island</t>
  </si>
  <si>
    <t xml:space="preserve">Islanda </t>
  </si>
  <si>
    <t xml:space="preserve">Iceland </t>
  </si>
  <si>
    <t>Islandia</t>
  </si>
  <si>
    <t>Islande</t>
  </si>
  <si>
    <t>.il</t>
  </si>
  <si>
    <t>IL</t>
  </si>
  <si>
    <t xml:space="preserve">Israele </t>
  </si>
  <si>
    <t xml:space="preserve">Israel </t>
  </si>
  <si>
    <t>Israël</t>
  </si>
  <si>
    <t>.it</t>
  </si>
  <si>
    <t>IT</t>
  </si>
  <si>
    <t>Italien</t>
  </si>
  <si>
    <t xml:space="preserve">Italia </t>
  </si>
  <si>
    <t xml:space="preserve">Italy </t>
  </si>
  <si>
    <t>Italia</t>
  </si>
  <si>
    <t>Italie</t>
  </si>
  <si>
    <t>.jm</t>
  </si>
  <si>
    <t>JM</t>
  </si>
  <si>
    <t>Jamaika</t>
  </si>
  <si>
    <t xml:space="preserve">Giamaica </t>
  </si>
  <si>
    <t xml:space="preserve">Jamaica </t>
  </si>
  <si>
    <t>Jamaïque</t>
  </si>
  <si>
    <t>.jo</t>
  </si>
  <si>
    <t>JO</t>
  </si>
  <si>
    <t>Jordanien</t>
  </si>
  <si>
    <t xml:space="preserve">Giordania </t>
  </si>
  <si>
    <t xml:space="preserve">Jordan </t>
  </si>
  <si>
    <t>Jordania</t>
  </si>
  <si>
    <t>Jordanie</t>
  </si>
  <si>
    <t>.jp</t>
  </si>
  <si>
    <t>JP</t>
  </si>
  <si>
    <t xml:space="preserve">Giappone </t>
  </si>
  <si>
    <t xml:space="preserve">Japan </t>
  </si>
  <si>
    <t>Japón</t>
  </si>
  <si>
    <t>Japon</t>
  </si>
  <si>
    <t>.kz</t>
  </si>
  <si>
    <t>KZ</t>
  </si>
  <si>
    <t>Kasachstan</t>
  </si>
  <si>
    <t xml:space="preserve">Kazakistan </t>
  </si>
  <si>
    <t xml:space="preserve">Kazakhstan </t>
  </si>
  <si>
    <t>Kazajistán</t>
  </si>
  <si>
    <t>.ke</t>
  </si>
  <si>
    <t>KE</t>
  </si>
  <si>
    <t>Kenia</t>
  </si>
  <si>
    <t xml:space="preserve">Kenya </t>
  </si>
  <si>
    <t>.kg</t>
  </si>
  <si>
    <t>KG</t>
  </si>
  <si>
    <t>Kirgisistan</t>
  </si>
  <si>
    <t xml:space="preserve">Kirghizistan </t>
  </si>
  <si>
    <t xml:space="preserve">Kyrgyzstan </t>
  </si>
  <si>
    <t>Kirguistán</t>
  </si>
  <si>
    <t>Kirghizistan</t>
  </si>
  <si>
    <t>.kh</t>
  </si>
  <si>
    <t>KH</t>
  </si>
  <si>
    <t>Kambodscha</t>
  </si>
  <si>
    <t xml:space="preserve">Cambogia </t>
  </si>
  <si>
    <t xml:space="preserve">Cambodia </t>
  </si>
  <si>
    <t>Camboya</t>
  </si>
  <si>
    <t>Cambodge</t>
  </si>
  <si>
    <t>.ki</t>
  </si>
  <si>
    <t>KI</t>
  </si>
  <si>
    <t xml:space="preserve">Kiribati </t>
  </si>
  <si>
    <t>.kn</t>
  </si>
  <si>
    <t>KN</t>
  </si>
  <si>
    <t>St. Kitts und Nevis</t>
  </si>
  <si>
    <t xml:space="preserve">Saint Kitts e Nevis </t>
  </si>
  <si>
    <t xml:space="preserve">Saint Kitts and Nevis </t>
  </si>
  <si>
    <t>San Cristóbal y Nieves</t>
  </si>
  <si>
    <t>Saint-Kitts-et-Nevis</t>
  </si>
  <si>
    <t>.kr</t>
  </si>
  <si>
    <t>KR</t>
  </si>
  <si>
    <t>Korea, Republik (Südkorea)</t>
  </si>
  <si>
    <t xml:space="preserve">Corea del Sud </t>
  </si>
  <si>
    <t xml:space="preserve">Korea, Republic of </t>
  </si>
  <si>
    <t>Corea del Sur</t>
  </si>
  <si>
    <t>Corée du Sud</t>
  </si>
  <si>
    <t>.kw</t>
  </si>
  <si>
    <t>KW</t>
  </si>
  <si>
    <t xml:space="preserve">Kuwait </t>
  </si>
  <si>
    <t>Koweït</t>
  </si>
  <si>
    <t>.la</t>
  </si>
  <si>
    <t>LA</t>
  </si>
  <si>
    <t>Laos, Demokratische Volksrepublik</t>
  </si>
  <si>
    <t xml:space="preserve">Laos </t>
  </si>
  <si>
    <t xml:space="preserve">Lao People's Democratic Republic </t>
  </si>
  <si>
    <t>Laos</t>
  </si>
  <si>
    <t>.lb</t>
  </si>
  <si>
    <t>LB</t>
  </si>
  <si>
    <t>Libanon</t>
  </si>
  <si>
    <t xml:space="preserve">Libano </t>
  </si>
  <si>
    <t xml:space="preserve">Lebanon </t>
  </si>
  <si>
    <t>Líbano</t>
  </si>
  <si>
    <t>Liban</t>
  </si>
  <si>
    <t>.lr</t>
  </si>
  <si>
    <t>LR</t>
  </si>
  <si>
    <t xml:space="preserve">Liberia </t>
  </si>
  <si>
    <t>Libéria</t>
  </si>
  <si>
    <t>.ly</t>
  </si>
  <si>
    <t>LY</t>
  </si>
  <si>
    <t>Libyen</t>
  </si>
  <si>
    <t xml:space="preserve">Libia </t>
  </si>
  <si>
    <t xml:space="preserve">Libya </t>
  </si>
  <si>
    <t>Libia</t>
  </si>
  <si>
    <t>Libye</t>
  </si>
  <si>
    <t>.lc</t>
  </si>
  <si>
    <t>LC</t>
  </si>
  <si>
    <t xml:space="preserve">Santa Lucia </t>
  </si>
  <si>
    <t xml:space="preserve">Saint Lucia </t>
  </si>
  <si>
    <t>Santa Lucía</t>
  </si>
  <si>
    <t>Sainte-Lucie</t>
  </si>
  <si>
    <t>.li</t>
  </si>
  <si>
    <t>LI</t>
  </si>
  <si>
    <t xml:space="preserve">Liechtenstein </t>
  </si>
  <si>
    <t>.lk</t>
  </si>
  <si>
    <t>LK</t>
  </si>
  <si>
    <t xml:space="preserve">Sri Lanka </t>
  </si>
  <si>
    <t>.ls</t>
  </si>
  <si>
    <t>LS</t>
  </si>
  <si>
    <t xml:space="preserve">Lesotho </t>
  </si>
  <si>
    <t>Lesoto</t>
  </si>
  <si>
    <t>.lt</t>
  </si>
  <si>
    <t>LT</t>
  </si>
  <si>
    <t>Litauen</t>
  </si>
  <si>
    <t xml:space="preserve">Lituania </t>
  </si>
  <si>
    <t xml:space="preserve">Lithuania </t>
  </si>
  <si>
    <t>Lituania</t>
  </si>
  <si>
    <t>Lituanie</t>
  </si>
  <si>
    <t>.lu</t>
  </si>
  <si>
    <t>LU</t>
  </si>
  <si>
    <t>Luxemburg</t>
  </si>
  <si>
    <t xml:space="preserve">Lussemburgo </t>
  </si>
  <si>
    <t xml:space="preserve">Luxembourg </t>
  </si>
  <si>
    <t>Luxemburgo</t>
  </si>
  <si>
    <t>.lv</t>
  </si>
  <si>
    <t>LV</t>
  </si>
  <si>
    <t>Lettland</t>
  </si>
  <si>
    <t xml:space="preserve">Lettonia </t>
  </si>
  <si>
    <t xml:space="preserve">Latvia </t>
  </si>
  <si>
    <t>Letonia</t>
  </si>
  <si>
    <t>Lettonie</t>
  </si>
  <si>
    <t>.mo</t>
  </si>
  <si>
    <t>MO</t>
  </si>
  <si>
    <t>Macao</t>
  </si>
  <si>
    <t xml:space="preserve">Macao </t>
  </si>
  <si>
    <t>.gp</t>
  </si>
  <si>
    <t>MF</t>
  </si>
  <si>
    <t>Saint-Martin (franz. Teil)</t>
  </si>
  <si>
    <t xml:space="preserve">Saint-Martin </t>
  </si>
  <si>
    <t xml:space="preserve">Saint Martin (French part) </t>
  </si>
  <si>
    <t>San Martín</t>
  </si>
  <si>
    <t>Saint-Martin</t>
  </si>
  <si>
    <t>.ma</t>
  </si>
  <si>
    <t>MA</t>
  </si>
  <si>
    <t>Marokko</t>
  </si>
  <si>
    <t xml:space="preserve">Marocco </t>
  </si>
  <si>
    <t xml:space="preserve">Morocco </t>
  </si>
  <si>
    <t>Marruecos</t>
  </si>
  <si>
    <t>Maroc</t>
  </si>
  <si>
    <t>.mc</t>
  </si>
  <si>
    <t>MC</t>
  </si>
  <si>
    <t xml:space="preserve">di Monaco Monaco </t>
  </si>
  <si>
    <t xml:space="preserve">Monaco </t>
  </si>
  <si>
    <t>Mónaco</t>
  </si>
  <si>
    <t>.md</t>
  </si>
  <si>
    <t>MD</t>
  </si>
  <si>
    <t>Moldawien (Republik Moldau)</t>
  </si>
  <si>
    <t xml:space="preserve">Moldavia </t>
  </si>
  <si>
    <t xml:space="preserve">Moldova, Republic of </t>
  </si>
  <si>
    <t>Moldavia</t>
  </si>
  <si>
    <t>Moldavie</t>
  </si>
  <si>
    <t>.mg</t>
  </si>
  <si>
    <t>MG</t>
  </si>
  <si>
    <t>Madagaskar</t>
  </si>
  <si>
    <t xml:space="preserve">Madagascar </t>
  </si>
  <si>
    <t>.mv</t>
  </si>
  <si>
    <t>MV</t>
  </si>
  <si>
    <t>Malediven</t>
  </si>
  <si>
    <t xml:space="preserve">Maldive </t>
  </si>
  <si>
    <t xml:space="preserve">Maldives </t>
  </si>
  <si>
    <t>Maldivas</t>
  </si>
  <si>
    <t>.mx</t>
  </si>
  <si>
    <t>MX</t>
  </si>
  <si>
    <t>Mexiko</t>
  </si>
  <si>
    <t xml:space="preserve">Messico </t>
  </si>
  <si>
    <t xml:space="preserve">Mexico </t>
  </si>
  <si>
    <t>México</t>
  </si>
  <si>
    <t>Mexique</t>
  </si>
  <si>
    <t>.mh</t>
  </si>
  <si>
    <t>MH</t>
  </si>
  <si>
    <t>Marshallinseln</t>
  </si>
  <si>
    <t xml:space="preserve">Isole Marshall </t>
  </si>
  <si>
    <t xml:space="preserve">Marshall Islands </t>
  </si>
  <si>
    <t>Islas Marshall</t>
  </si>
  <si>
    <t>Îles Marshall</t>
  </si>
  <si>
    <t>.mk</t>
  </si>
  <si>
    <t>MK</t>
  </si>
  <si>
    <t>Mazedonien</t>
  </si>
  <si>
    <t xml:space="preserve">Repubblica di Macedonia </t>
  </si>
  <si>
    <t xml:space="preserve">Macedonia, The Former Yugoslav Republic of </t>
  </si>
  <si>
    <t>República de Macedonia</t>
  </si>
  <si>
    <t>Macédoine</t>
  </si>
  <si>
    <t>.ml</t>
  </si>
  <si>
    <t>ML</t>
  </si>
  <si>
    <t xml:space="preserve">Mali </t>
  </si>
  <si>
    <t>Malí</t>
  </si>
  <si>
    <t>.mt</t>
  </si>
  <si>
    <t>MT</t>
  </si>
  <si>
    <t xml:space="preserve">Malta </t>
  </si>
  <si>
    <t>Malte</t>
  </si>
  <si>
    <t>.mm</t>
  </si>
  <si>
    <t>MM</t>
  </si>
  <si>
    <t>Myanmar (Burma)</t>
  </si>
  <si>
    <t xml:space="preserve">Birmania </t>
  </si>
  <si>
    <t xml:space="preserve">Myanmar </t>
  </si>
  <si>
    <t>Birmania</t>
  </si>
  <si>
    <t>.me</t>
  </si>
  <si>
    <t>ME</t>
  </si>
  <si>
    <t xml:space="preserve">Montenegro </t>
  </si>
  <si>
    <t>Monténégro</t>
  </si>
  <si>
    <t>.mn</t>
  </si>
  <si>
    <t>MN</t>
  </si>
  <si>
    <t>Mongolei</t>
  </si>
  <si>
    <t xml:space="preserve">Mongolia </t>
  </si>
  <si>
    <t>Mongolie</t>
  </si>
  <si>
    <t>.mp</t>
  </si>
  <si>
    <t>MP</t>
  </si>
  <si>
    <t>Nördliche Marianen</t>
  </si>
  <si>
    <t xml:space="preserve">Isole Marianne Settentrionali </t>
  </si>
  <si>
    <t xml:space="preserve">Northern Mariana Islands </t>
  </si>
  <si>
    <t>Islas Marianas del Norte</t>
  </si>
  <si>
    <t>Îles Mariannes du Nord</t>
  </si>
  <si>
    <t>.mz</t>
  </si>
  <si>
    <t>MZ</t>
  </si>
  <si>
    <t>Mosambik</t>
  </si>
  <si>
    <t xml:space="preserve">Mozambico </t>
  </si>
  <si>
    <t xml:space="preserve">Mozambique </t>
  </si>
  <si>
    <t>.mr</t>
  </si>
  <si>
    <t>MR</t>
  </si>
  <si>
    <t>Mauretanien</t>
  </si>
  <si>
    <t xml:space="preserve">Mauritania </t>
  </si>
  <si>
    <t>Mauritanie</t>
  </si>
  <si>
    <t>.mu</t>
  </si>
  <si>
    <t>MU</t>
  </si>
  <si>
    <t xml:space="preserve">Mauritius </t>
  </si>
  <si>
    <t>Mauricio</t>
  </si>
  <si>
    <t>Île Maurice</t>
  </si>
  <si>
    <t>.mw</t>
  </si>
  <si>
    <t>MW</t>
  </si>
  <si>
    <t xml:space="preserve">Malawi </t>
  </si>
  <si>
    <t>Malaui</t>
  </si>
  <si>
    <t>.my</t>
  </si>
  <si>
    <t>MY</t>
  </si>
  <si>
    <t xml:space="preserve">Malesia </t>
  </si>
  <si>
    <t xml:space="preserve">Malaysia </t>
  </si>
  <si>
    <t>Malasia</t>
  </si>
  <si>
    <t>Malaysie</t>
  </si>
  <si>
    <t>.na</t>
  </si>
  <si>
    <t>NA</t>
  </si>
  <si>
    <t xml:space="preserve">Namibia </t>
  </si>
  <si>
    <t>Namibie</t>
  </si>
  <si>
    <t>.nc</t>
  </si>
  <si>
    <t>NC</t>
  </si>
  <si>
    <t>Neukaledonien</t>
  </si>
  <si>
    <t xml:space="preserve">Nuova Caledonia </t>
  </si>
  <si>
    <t xml:space="preserve">New Caledonia </t>
  </si>
  <si>
    <t>Nueva Caledonia</t>
  </si>
  <si>
    <t>Nouvelle-Calédonie</t>
  </si>
  <si>
    <t>.ne</t>
  </si>
  <si>
    <t>NE</t>
  </si>
  <si>
    <t xml:space="preserve">Niger </t>
  </si>
  <si>
    <t>Níger</t>
  </si>
  <si>
    <t>.ng</t>
  </si>
  <si>
    <t>NG</t>
  </si>
  <si>
    <t xml:space="preserve">Nigeria </t>
  </si>
  <si>
    <t>Nigéria</t>
  </si>
  <si>
    <t>.ni</t>
  </si>
  <si>
    <t>NI</t>
  </si>
  <si>
    <t xml:space="preserve">Nicaragua </t>
  </si>
  <si>
    <t>.nl</t>
  </si>
  <si>
    <t>NL</t>
  </si>
  <si>
    <t>Niederlande</t>
  </si>
  <si>
    <t xml:space="preserve">Paesi Bassi </t>
  </si>
  <si>
    <t xml:space="preserve">Netherlands </t>
  </si>
  <si>
    <t>Países Bajos</t>
  </si>
  <si>
    <t>Pays-Bas</t>
  </si>
  <si>
    <t>.no</t>
  </si>
  <si>
    <t>NO</t>
  </si>
  <si>
    <t>Norwegen</t>
  </si>
  <si>
    <t xml:space="preserve">Norvegia </t>
  </si>
  <si>
    <t xml:space="preserve">Norway </t>
  </si>
  <si>
    <t>Noruega</t>
  </si>
  <si>
    <t>Norvège</t>
  </si>
  <si>
    <t>.np</t>
  </si>
  <si>
    <t>NP</t>
  </si>
  <si>
    <t xml:space="preserve">Nepal </t>
  </si>
  <si>
    <t>Népal</t>
  </si>
  <si>
    <t>.nr</t>
  </si>
  <si>
    <t>NR</t>
  </si>
  <si>
    <t xml:space="preserve">Nauru </t>
  </si>
  <si>
    <t>.nz</t>
  </si>
  <si>
    <t>NZ</t>
  </si>
  <si>
    <t>Neuseeland</t>
  </si>
  <si>
    <t xml:space="preserve">Nuova Zelanda </t>
  </si>
  <si>
    <t xml:space="preserve">New Zealand </t>
  </si>
  <si>
    <t>Nueva Zelanda</t>
  </si>
  <si>
    <t>Nouvelle Zélande</t>
  </si>
  <si>
    <t>.om</t>
  </si>
  <si>
    <t>OM</t>
  </si>
  <si>
    <t xml:space="preserve">Oman </t>
  </si>
  <si>
    <t>Omán</t>
  </si>
  <si>
    <t>.pk</t>
  </si>
  <si>
    <t>PK</t>
  </si>
  <si>
    <t xml:space="preserve">Pakistan </t>
  </si>
  <si>
    <t>Pakistán</t>
  </si>
  <si>
    <t>.pa</t>
  </si>
  <si>
    <t>PA</t>
  </si>
  <si>
    <t xml:space="preserve">Panamá </t>
  </si>
  <si>
    <t xml:space="preserve">Panama </t>
  </si>
  <si>
    <t>Panamá</t>
  </si>
  <si>
    <t>.pe</t>
  </si>
  <si>
    <t>PE</t>
  </si>
  <si>
    <t xml:space="preserve">Perù </t>
  </si>
  <si>
    <t xml:space="preserve">Peru </t>
  </si>
  <si>
    <t>Perú</t>
  </si>
  <si>
    <t>Pérou</t>
  </si>
  <si>
    <t>.ph</t>
  </si>
  <si>
    <t>PH</t>
  </si>
  <si>
    <t>Philippinen</t>
  </si>
  <si>
    <t xml:space="preserve">Filippine </t>
  </si>
  <si>
    <t xml:space="preserve">Philippines </t>
  </si>
  <si>
    <t>Filipinas</t>
  </si>
  <si>
    <t>.pw</t>
  </si>
  <si>
    <t>PW</t>
  </si>
  <si>
    <t xml:space="preserve">Palau </t>
  </si>
  <si>
    <t>Palaos</t>
  </si>
  <si>
    <t>.pg</t>
  </si>
  <si>
    <t>PG</t>
  </si>
  <si>
    <t>Papua-Neuguinea</t>
  </si>
  <si>
    <t xml:space="preserve">Papua Nuova Guinea </t>
  </si>
  <si>
    <t xml:space="preserve">Papua New Guinea </t>
  </si>
  <si>
    <t>Papúa Nueva Guinea</t>
  </si>
  <si>
    <t>Papouasie-Nouvelle-Guinée</t>
  </si>
  <si>
    <t>.pl</t>
  </si>
  <si>
    <t>PL</t>
  </si>
  <si>
    <t>Polen</t>
  </si>
  <si>
    <t xml:space="preserve">Polonia </t>
  </si>
  <si>
    <t xml:space="preserve">Poland </t>
  </si>
  <si>
    <t>Polonia</t>
  </si>
  <si>
    <t>Pologne</t>
  </si>
  <si>
    <t>.pr</t>
  </si>
  <si>
    <t>PR</t>
  </si>
  <si>
    <t xml:space="preserve">Porto Rico </t>
  </si>
  <si>
    <t xml:space="preserve">Puerto Rico </t>
  </si>
  <si>
    <t>.kp</t>
  </si>
  <si>
    <t>KP</t>
  </si>
  <si>
    <t>Korea, Demokratische Volksrepublik (Nordkorea)</t>
  </si>
  <si>
    <t xml:space="preserve">Corea del Nord </t>
  </si>
  <si>
    <t xml:space="preserve">Korea, Democratic People's Republic of </t>
  </si>
  <si>
    <t>Corea del Norte</t>
  </si>
  <si>
    <t>Corée du Nord</t>
  </si>
  <si>
    <t>.pt</t>
  </si>
  <si>
    <t>PT</t>
  </si>
  <si>
    <t xml:space="preserve">Portogallo </t>
  </si>
  <si>
    <t xml:space="preserve">Portugal </t>
  </si>
  <si>
    <t>.py</t>
  </si>
  <si>
    <t>PY</t>
  </si>
  <si>
    <t xml:space="preserve">Paraguay </t>
  </si>
  <si>
    <t>.ps</t>
  </si>
  <si>
    <t>PS</t>
  </si>
  <si>
    <t>Palästinensische Autonomiegebiete</t>
  </si>
  <si>
    <t xml:space="preserve">Palestina </t>
  </si>
  <si>
    <t xml:space="preserve">Palestinian Territory, Occupied </t>
  </si>
  <si>
    <t>Autoridad Nacional Palestina</t>
  </si>
  <si>
    <t>Territoire Palestinien</t>
  </si>
  <si>
    <t>.pf</t>
  </si>
  <si>
    <t>PF</t>
  </si>
  <si>
    <t>Französisch-Polynesien</t>
  </si>
  <si>
    <t xml:space="preserve">Polinesia francese </t>
  </si>
  <si>
    <t xml:space="preserve">French Polynesia </t>
  </si>
  <si>
    <t>Polinesia Francesa</t>
  </si>
  <si>
    <t>Polynésie française</t>
  </si>
  <si>
    <t>.qa</t>
  </si>
  <si>
    <t>QA</t>
  </si>
  <si>
    <t>Katar</t>
  </si>
  <si>
    <t xml:space="preserve">Qatar </t>
  </si>
  <si>
    <t>Catar</t>
  </si>
  <si>
    <t>.ro</t>
  </si>
  <si>
    <t>RO</t>
  </si>
  <si>
    <t>Rumänien</t>
  </si>
  <si>
    <t xml:space="preserve">Romania </t>
  </si>
  <si>
    <t>Rumania</t>
  </si>
  <si>
    <t>Roumanie</t>
  </si>
  <si>
    <t>.ru</t>
  </si>
  <si>
    <t>RU</t>
  </si>
  <si>
    <t>Russische Föderation</t>
  </si>
  <si>
    <t xml:space="preserve">Russia </t>
  </si>
  <si>
    <t xml:space="preserve">Russian Federation </t>
  </si>
  <si>
    <t>Rusia</t>
  </si>
  <si>
    <t>Russie</t>
  </si>
  <si>
    <t>.rw</t>
  </si>
  <si>
    <t>RW</t>
  </si>
  <si>
    <t>Ruanda</t>
  </si>
  <si>
    <t xml:space="preserve">Ruanda </t>
  </si>
  <si>
    <t xml:space="preserve">Rwanda </t>
  </si>
  <si>
    <t>.sa</t>
  </si>
  <si>
    <t>SA</t>
  </si>
  <si>
    <t>Saudi-Arabien</t>
  </si>
  <si>
    <t xml:space="preserve">Arabia Saudita </t>
  </si>
  <si>
    <t xml:space="preserve">Saudi Arabia </t>
  </si>
  <si>
    <t>Arabia Saudita Arabia Saudita</t>
  </si>
  <si>
    <t>Arabie Saoudite</t>
  </si>
  <si>
    <t>.sd</t>
  </si>
  <si>
    <t>SD</t>
  </si>
  <si>
    <t xml:space="preserve">Sudan </t>
  </si>
  <si>
    <t>Sudán</t>
  </si>
  <si>
    <t>Soudan</t>
  </si>
  <si>
    <t>.sn</t>
  </si>
  <si>
    <t>SN</t>
  </si>
  <si>
    <t xml:space="preserve">Senegal </t>
  </si>
  <si>
    <t>Sénégal</t>
  </si>
  <si>
    <t>.sg</t>
  </si>
  <si>
    <t>SG</t>
  </si>
  <si>
    <t>Singapur</t>
  </si>
  <si>
    <t xml:space="preserve">Singapore </t>
  </si>
  <si>
    <t>Singapour</t>
  </si>
  <si>
    <t>.sb</t>
  </si>
  <si>
    <t>SB</t>
  </si>
  <si>
    <t>Salomonen</t>
  </si>
  <si>
    <t xml:space="preserve">Isole Salomone </t>
  </si>
  <si>
    <t xml:space="preserve">Solomon Islands </t>
  </si>
  <si>
    <t>Islas Salomón</t>
  </si>
  <si>
    <t>Îles Salomon</t>
  </si>
  <si>
    <t>.sl</t>
  </si>
  <si>
    <t>SL</t>
  </si>
  <si>
    <t xml:space="preserve">Sierra Leone </t>
  </si>
  <si>
    <t>Sierra Leona</t>
  </si>
  <si>
    <t>.sv</t>
  </si>
  <si>
    <t>SV</t>
  </si>
  <si>
    <t xml:space="preserve">El Salvador </t>
  </si>
  <si>
    <t>Le Salvador</t>
  </si>
  <si>
    <t>.sm</t>
  </si>
  <si>
    <t>SM</t>
  </si>
  <si>
    <t xml:space="preserve">San Marino </t>
  </si>
  <si>
    <t>San Marin</t>
  </si>
  <si>
    <t>.so</t>
  </si>
  <si>
    <t>SO</t>
  </si>
  <si>
    <t xml:space="preserve">Somalia </t>
  </si>
  <si>
    <t>Somalie</t>
  </si>
  <si>
    <t>.rs</t>
  </si>
  <si>
    <t>RS</t>
  </si>
  <si>
    <t>Serbien</t>
  </si>
  <si>
    <t xml:space="preserve">Serbia </t>
  </si>
  <si>
    <t>Serbie</t>
  </si>
  <si>
    <t>SS</t>
  </si>
  <si>
    <t>Südsudan</t>
  </si>
  <si>
    <t xml:space="preserve">Sudan del Sud </t>
  </si>
  <si>
    <t xml:space="preserve">South Sudan </t>
  </si>
  <si>
    <t>Sudán del Sur</t>
  </si>
  <si>
    <t>Soudan du Sud</t>
  </si>
  <si>
    <t>.st</t>
  </si>
  <si>
    <t>ST</t>
  </si>
  <si>
    <t>São Tomé und Príncipe</t>
  </si>
  <si>
    <t xml:space="preserve">São Tomé e Príncipe </t>
  </si>
  <si>
    <t xml:space="preserve">Sao Tome and Principe </t>
  </si>
  <si>
    <t>Santo Tomé y Príncipe</t>
  </si>
  <si>
    <t>Sao Tomé-et-Principe</t>
  </si>
  <si>
    <t>.sr</t>
  </si>
  <si>
    <t>SR</t>
  </si>
  <si>
    <t xml:space="preserve">Suriname </t>
  </si>
  <si>
    <t>Surinam</t>
  </si>
  <si>
    <t>.sk</t>
  </si>
  <si>
    <t>SK</t>
  </si>
  <si>
    <t>Slowakei</t>
  </si>
  <si>
    <t xml:space="preserve">Slovacchia </t>
  </si>
  <si>
    <t xml:space="preserve">Slovakia </t>
  </si>
  <si>
    <t>Eslovaquia</t>
  </si>
  <si>
    <t>Slovaquie</t>
  </si>
  <si>
    <t>.si</t>
  </si>
  <si>
    <t>SI</t>
  </si>
  <si>
    <t>Slowenien</t>
  </si>
  <si>
    <t xml:space="preserve">Slovenia </t>
  </si>
  <si>
    <t>Eslovenia</t>
  </si>
  <si>
    <t>Slovénie</t>
  </si>
  <si>
    <t>.se</t>
  </si>
  <si>
    <t>SE</t>
  </si>
  <si>
    <t>Schweden</t>
  </si>
  <si>
    <t xml:space="preserve">Svezia </t>
  </si>
  <si>
    <t xml:space="preserve">Sweden </t>
  </si>
  <si>
    <t>Suecia</t>
  </si>
  <si>
    <t>Suède</t>
  </si>
  <si>
    <t>.sz</t>
  </si>
  <si>
    <t>SZ</t>
  </si>
  <si>
    <t>Swasiland</t>
  </si>
  <si>
    <t xml:space="preserve">Swaziland </t>
  </si>
  <si>
    <t>Suazilandia</t>
  </si>
  <si>
    <t>.sx</t>
  </si>
  <si>
    <t>SX</t>
  </si>
  <si>
    <t>Sint Maarten (niederl. Teil)</t>
  </si>
  <si>
    <t xml:space="preserve">Sint Maarten </t>
  </si>
  <si>
    <t xml:space="preserve">Sint Maarten (Dutch part) </t>
  </si>
  <si>
    <t>Sint Maarten</t>
  </si>
  <si>
    <t>.sc</t>
  </si>
  <si>
    <t>SC</t>
  </si>
  <si>
    <t>Seychellen</t>
  </si>
  <si>
    <t xml:space="preserve">Seychelles </t>
  </si>
  <si>
    <t>.sy</t>
  </si>
  <si>
    <t>SY</t>
  </si>
  <si>
    <t>Syrien, Arabische Republik</t>
  </si>
  <si>
    <t xml:space="preserve">Siria </t>
  </si>
  <si>
    <t xml:space="preserve">Syrian Arab Republic </t>
  </si>
  <si>
    <t>Siria</t>
  </si>
  <si>
    <t>Syrie</t>
  </si>
  <si>
    <t>.tc</t>
  </si>
  <si>
    <t>TC</t>
  </si>
  <si>
    <t>Turks- und Caicosinseln</t>
  </si>
  <si>
    <t xml:space="preserve">Turks e Caicos </t>
  </si>
  <si>
    <t xml:space="preserve">Turks and Caicos Islands </t>
  </si>
  <si>
    <t>Islas Turcas y Caicos</t>
  </si>
  <si>
    <t>Îles Turques et Caïques</t>
  </si>
  <si>
    <t>.td</t>
  </si>
  <si>
    <t>TD</t>
  </si>
  <si>
    <t>Tschad</t>
  </si>
  <si>
    <t xml:space="preserve">Ciad </t>
  </si>
  <si>
    <t xml:space="preserve">Chad </t>
  </si>
  <si>
    <t>Tchad</t>
  </si>
  <si>
    <t>.tg</t>
  </si>
  <si>
    <t>TG</t>
  </si>
  <si>
    <t xml:space="preserve">Togo </t>
  </si>
  <si>
    <t>.th</t>
  </si>
  <si>
    <t>TH</t>
  </si>
  <si>
    <t xml:space="preserve">Thailandia </t>
  </si>
  <si>
    <t xml:space="preserve">Thailand </t>
  </si>
  <si>
    <t>Tailandia</t>
  </si>
  <si>
    <t>Thaïlande</t>
  </si>
  <si>
    <t>.tj</t>
  </si>
  <si>
    <t>TJ</t>
  </si>
  <si>
    <t>Tadschikistan</t>
  </si>
  <si>
    <t xml:space="preserve">Tagikistan </t>
  </si>
  <si>
    <t xml:space="preserve">Tajikistan </t>
  </si>
  <si>
    <t>Tayikistán</t>
  </si>
  <si>
    <t>.tm</t>
  </si>
  <si>
    <t>TM</t>
  </si>
  <si>
    <t xml:space="preserve">Turkmenistan </t>
  </si>
  <si>
    <t>Turkmenistán</t>
  </si>
  <si>
    <t>Turkménistan</t>
  </si>
  <si>
    <t>.tl</t>
  </si>
  <si>
    <t>TL</t>
  </si>
  <si>
    <t>Osttimor (Timor-Leste)</t>
  </si>
  <si>
    <t xml:space="preserve">Timor Est </t>
  </si>
  <si>
    <t xml:space="preserve">Timor-Leste </t>
  </si>
  <si>
    <t>Timor Oriental</t>
  </si>
  <si>
    <t>Timor oriental</t>
  </si>
  <si>
    <t>.to</t>
  </si>
  <si>
    <t>TO</t>
  </si>
  <si>
    <t xml:space="preserve">Tonga </t>
  </si>
  <si>
    <t>.tt</t>
  </si>
  <si>
    <t>TT</t>
  </si>
  <si>
    <t>Trinidad und Tobago</t>
  </si>
  <si>
    <t xml:space="preserve">Trinidad e Tobago </t>
  </si>
  <si>
    <t xml:space="preserve">Trinidad and Tobago </t>
  </si>
  <si>
    <t>Trinidad y Tobago</t>
  </si>
  <si>
    <t>Trinité et Tobago</t>
  </si>
  <si>
    <t>.tn</t>
  </si>
  <si>
    <t>TN</t>
  </si>
  <si>
    <t>Tunesien</t>
  </si>
  <si>
    <t xml:space="preserve">Tunisia </t>
  </si>
  <si>
    <t>Túnez</t>
  </si>
  <si>
    <t>Tunisie</t>
  </si>
  <si>
    <t>.tr</t>
  </si>
  <si>
    <t>TR</t>
  </si>
  <si>
    <t>Türkei</t>
  </si>
  <si>
    <t xml:space="preserve">Turchia </t>
  </si>
  <si>
    <t xml:space="preserve">Turkey </t>
  </si>
  <si>
    <t>Turquía</t>
  </si>
  <si>
    <t>Turquie</t>
  </si>
  <si>
    <t>.tv</t>
  </si>
  <si>
    <t>TV</t>
  </si>
  <si>
    <t xml:space="preserve">Tuvalu </t>
  </si>
  <si>
    <t>.tz</t>
  </si>
  <si>
    <t>TZ</t>
  </si>
  <si>
    <t>Tansania, Vereinigte Republik</t>
  </si>
  <si>
    <t xml:space="preserve">Tanzania </t>
  </si>
  <si>
    <t xml:space="preserve">Tanzania, United Republic of </t>
  </si>
  <si>
    <t>Tanzanie</t>
  </si>
  <si>
    <t>.ug</t>
  </si>
  <si>
    <t>UG</t>
  </si>
  <si>
    <t xml:space="preserve">Uganda </t>
  </si>
  <si>
    <t>Ouganda</t>
  </si>
  <si>
    <t>.ua</t>
  </si>
  <si>
    <t>UA</t>
  </si>
  <si>
    <t xml:space="preserve">Ucraina </t>
  </si>
  <si>
    <t xml:space="preserve">Ukraine </t>
  </si>
  <si>
    <t>Ucrania</t>
  </si>
  <si>
    <t>.uy</t>
  </si>
  <si>
    <t>UY</t>
  </si>
  <si>
    <t xml:space="preserve">Uruguay </t>
  </si>
  <si>
    <t>.us</t>
  </si>
  <si>
    <t>US</t>
  </si>
  <si>
    <t>Vereinigte Staaten von Amerika</t>
  </si>
  <si>
    <t xml:space="preserve">Stati Uniti d'America </t>
  </si>
  <si>
    <t xml:space="preserve">United States </t>
  </si>
  <si>
    <t>Estados Unidos</t>
  </si>
  <si>
    <t>États-Unis (USA)</t>
  </si>
  <si>
    <t>.uz</t>
  </si>
  <si>
    <t>UZ</t>
  </si>
  <si>
    <t>Usbekistan</t>
  </si>
  <si>
    <t xml:space="preserve">Uzbekistan </t>
  </si>
  <si>
    <t>Uzbekistán</t>
  </si>
  <si>
    <t>Ouzbékistan</t>
  </si>
  <si>
    <t>.vc</t>
  </si>
  <si>
    <t>VC</t>
  </si>
  <si>
    <t>St. Vincent und die Grenadinen</t>
  </si>
  <si>
    <t xml:space="preserve">Saint Vincent e Grenadine </t>
  </si>
  <si>
    <t xml:space="preserve">Saint Vincent and the Grenadines </t>
  </si>
  <si>
    <t>San Vicente y las Granadinas</t>
  </si>
  <si>
    <t>Saint-Vincent-et-les-Grenadines</t>
  </si>
  <si>
    <t>.ve</t>
  </si>
  <si>
    <t>VE</t>
  </si>
  <si>
    <t>Venezuela</t>
  </si>
  <si>
    <t xml:space="preserve">Venezuela </t>
  </si>
  <si>
    <t xml:space="preserve">Venezuela, Bolivarian Republic of </t>
  </si>
  <si>
    <t>Vénézuela</t>
  </si>
  <si>
    <t>.vg</t>
  </si>
  <si>
    <t>VG</t>
  </si>
  <si>
    <t>Britische Jungferninseln</t>
  </si>
  <si>
    <t xml:space="preserve">Isole Vergini britanniche </t>
  </si>
  <si>
    <t xml:space="preserve">Virgin Islands, British </t>
  </si>
  <si>
    <t>Islas Vírgenes Británicas</t>
  </si>
  <si>
    <t>Îles Vierges britanniques</t>
  </si>
  <si>
    <t>.vi</t>
  </si>
  <si>
    <t>VI</t>
  </si>
  <si>
    <t>Amerikanische Jungferninseln</t>
  </si>
  <si>
    <t xml:space="preserve">Isole Vergini americane </t>
  </si>
  <si>
    <t xml:space="preserve">Virgin Islands, U.S. </t>
  </si>
  <si>
    <t>Islas Vírgenes de los Estados Unidos</t>
  </si>
  <si>
    <t>Îles Vierges des États-Unis</t>
  </si>
  <si>
    <t>.vn</t>
  </si>
  <si>
    <t>VN</t>
  </si>
  <si>
    <t xml:space="preserve">Vietnam </t>
  </si>
  <si>
    <t xml:space="preserve">Viet Nam </t>
  </si>
  <si>
    <t>.vu</t>
  </si>
  <si>
    <t>VU</t>
  </si>
  <si>
    <t xml:space="preserve">Vanuatu </t>
  </si>
  <si>
    <t>.ws</t>
  </si>
  <si>
    <t>WS</t>
  </si>
  <si>
    <t xml:space="preserve">Samoa </t>
  </si>
  <si>
    <t>XK</t>
  </si>
  <si>
    <t>.ye</t>
  </si>
  <si>
    <t>YE</t>
  </si>
  <si>
    <t>Jemen</t>
  </si>
  <si>
    <t xml:space="preserve">Yemen </t>
  </si>
  <si>
    <t>Yemen</t>
  </si>
  <si>
    <t>.za</t>
  </si>
  <si>
    <t>ZA</t>
  </si>
  <si>
    <t>Südafrika</t>
  </si>
  <si>
    <t xml:space="preserve">Sudafrica </t>
  </si>
  <si>
    <t xml:space="preserve">South Africa </t>
  </si>
  <si>
    <t>Sudáfrica</t>
  </si>
  <si>
    <t>Afrique du Sud</t>
  </si>
  <si>
    <t>.zm</t>
  </si>
  <si>
    <t>ZM</t>
  </si>
  <si>
    <t>Sambia</t>
  </si>
  <si>
    <t xml:space="preserve">Zambia </t>
  </si>
  <si>
    <t>Zambie</t>
  </si>
  <si>
    <t>.zw</t>
  </si>
  <si>
    <t>ZW</t>
  </si>
  <si>
    <t>Simbabwe</t>
  </si>
  <si>
    <t xml:space="preserve">Zimbabwe </t>
  </si>
  <si>
    <t>Zimbabue</t>
  </si>
  <si>
    <t>Durchschnitt Afrika</t>
  </si>
  <si>
    <t>media Africa</t>
  </si>
  <si>
    <t>Media África</t>
  </si>
  <si>
    <t>Durchschnitt Amerika</t>
  </si>
  <si>
    <t>media America</t>
  </si>
  <si>
    <t>Media Américas</t>
  </si>
  <si>
    <t>Durchschnitt Asien</t>
  </si>
  <si>
    <t>media Asia</t>
  </si>
  <si>
    <t>Media Asia</t>
  </si>
  <si>
    <t>Durchschnitt Europa</t>
  </si>
  <si>
    <t>media Europa</t>
  </si>
  <si>
    <t>Media Europa</t>
  </si>
  <si>
    <t>Durchschnitt Ozeanien</t>
  </si>
  <si>
    <t>media Ozeania</t>
  </si>
  <si>
    <t>Media Oceanía</t>
  </si>
  <si>
    <t>Durchschnitt Welt</t>
  </si>
  <si>
    <t>media mondo</t>
  </si>
  <si>
    <t>Media Mundo</t>
  </si>
  <si>
    <t>provenienza prevalente del resto dei fornitori</t>
  </si>
  <si>
    <t>Origen predominante del resto de proveedores</t>
  </si>
  <si>
    <t>Welfare aziendale, retribuzione e organizzazione del lavoro</t>
  </si>
  <si>
    <t>Select your language</t>
  </si>
  <si>
    <t xml:space="preserve">Gewichtung geändert. Ursprünglich </t>
  </si>
  <si>
    <t xml:space="preserve">Peso cambiato. Originale </t>
  </si>
  <si>
    <t xml:space="preserve">Weighting changed. Original </t>
  </si>
  <si>
    <t xml:space="preserve">Ponderación cambiada. Original </t>
  </si>
  <si>
    <t>PPP Factor</t>
  </si>
  <si>
    <t>ITUC</t>
  </si>
  <si>
    <t>Introduce value between 0 and 10</t>
  </si>
  <si>
    <t>Introduce negative points between 0 and -200</t>
  </si>
  <si>
    <t>fehlerhafte Eingabe</t>
  </si>
  <si>
    <t>Values are not consistent</t>
  </si>
  <si>
    <t>Los valores no son consistentes</t>
  </si>
  <si>
    <t xml:space="preserve"> Puntos</t>
  </si>
  <si>
    <t>Selected Weighting</t>
  </si>
  <si>
    <t>5.04</t>
  </si>
  <si>
    <t>Changes</t>
  </si>
  <si>
    <t>5.02</t>
  </si>
  <si>
    <t>5.03</t>
  </si>
  <si>
    <t>5.05</t>
  </si>
  <si>
    <t>Spanish, Italian and English added</t>
  </si>
  <si>
    <t>Add possibility of changing the weighting by stakeholder (not only themes and aspects)</t>
  </si>
  <si>
    <t>Change format of numbers so it works globally. There were some problems in Switzerland</t>
  </si>
  <si>
    <t>All sheets are optimised for printing on A4 format (landscape or portrait).
The height of rows can be adjusted, if you enter more text
The format of the numbers is usually rounded to facilitate the visualization but the numbers are not actually rounded. You may see as an example that an aspect is 1 (actually 1,3) and other 1 (actually 1,4) but the sum is 3 (actually 2,7).</t>
  </si>
  <si>
    <t xml:space="preserve">Todas las hojas están optimizadas para la impresión en formato A4 (apaisado o retrato).
La altura de las filas se puede ajustar, si se introduce más texto
El formato de los números suele estar redondeado para facilitar la visualización, pero los números no están realmente redondeados. Puedes ver como ejemplo que un aspecto es 1 (en realidad 1,3) y otro 1 (en realidad 1,4) pero la suma es 3 (en realidad 2,7).
</t>
  </si>
  <si>
    <t>f)</t>
  </si>
  <si>
    <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t>
  </si>
  <si>
    <t>Bitte beachten Sie, dass die Zahlenformate in der Matrix gerundet
dargestellt werden</t>
  </si>
  <si>
    <t>Il formato dei numeri è arrotondato per facilitare la visualizzazione, ma i numeri non sono arrotondati. Ad esempio, potresti vedere che il valore di un aspetto è 1 (valore reale 1,3) e un altro aspetto 1 (valore reale 1,4) ma la somma tra i due aspetti è 3 (valore reale 2,7)</t>
  </si>
  <si>
    <t>Attenzione: il format dei numeri nella matrice è arrotondato</t>
  </si>
  <si>
    <t>Please note that the format of the numbers in the matrix is rounded</t>
  </si>
  <si>
    <t>The format of the numbers is usually rounded to facilitate the visualization but the numbers are not actually rounded. You may see for example that an aspect is 1 (real value 1,3) and other 1 (real value 1,4) but the sum of the two aspects is 3 (real value 2,7)</t>
  </si>
  <si>
    <t>Tenga en cuenta que el formato de los números en la matriz está redondeado</t>
  </si>
  <si>
    <t>Nota: esto no es un certificado.</t>
  </si>
  <si>
    <t>Note: This is not a certificate.</t>
  </si>
  <si>
    <t>El formato de los números suele estar redondeado para facilitar la visualización pero los números no están realmente redondeados. Puede que veas, por ejemplo, que un aspecto tiene el valor 1 (con valor real 1,3) y otro aspecto el valor 1 (con valor real 1,4), y que la suma de los dos aspectos sea 3 (que en realidad es 2,7)</t>
  </si>
  <si>
    <t>Calculateur du Bilan pour le Bien Commun</t>
  </si>
  <si>
    <t>© Economie pour le Bien Commun</t>
  </si>
  <si>
    <t>Bienvenue!</t>
  </si>
  <si>
    <t>Comment utiliser le calculateur du bilan :</t>
  </si>
  <si>
    <t>1. Généralités</t>
  </si>
  <si>
    <t>Vous pouvez renseigner des informations globales et générales sur votre entreprise ou organisation dans cette rubrique.</t>
  </si>
  <si>
    <t>Tous les champs dans cette rubrique, doivent être complétés, car ils sont essentiels pour la pondération de chaque sujet.</t>
  </si>
  <si>
    <t>Décrivez la situation actuelle et les évolutions potentielles pour améliorer les différents aspects des rubriques clés. Utilisez le guide de l'EBC comme référence. (Ceci est optionnel et pas indispensable pour le calcul.)</t>
  </si>
  <si>
    <t>Basé sur ces descriptions, indiquez sur une échelle de 0 à 10, comment vous pensez avoir atteint les différents critères (niveau de réalisation). Le critère pour choisir la valeur correcte peut être trouvé dans le Guide.</t>
  </si>
  <si>
    <t>Les aspects négatifs donnent droit à des points négatifs, selon la description indiquée dans le Guide.</t>
  </si>
  <si>
    <t xml:space="preserve">Lorsque cela est jugé nécessaire pour votre entreprise et en accord avec les vérificateurs, vous pouvez modifier la pondération relative des aspects individuels (A1.1, A1.2, …). Dans la colonne pondération, vous pouvez sélectionner des valeurs pour chaque aspect. La distribution des points disponibles pour les aspects individuels, seront ensuite ajustés automatiquement, ainsi le total de tous les aspects d'un indicateur donnera 100%. </t>
  </si>
  <si>
    <t>Le calcul pondère automatiquement chaque total de chaque thème comparé aux données contenues dans la rubrique : "les détails de l'entreprise" et l'arrondit à un multiple entier de 10%.</t>
  </si>
  <si>
    <t>La matrice EBC propose vos résultats sous forme de tableau</t>
  </si>
  <si>
    <t>Ceci est une description du modèle de pondération</t>
  </si>
  <si>
    <t>Ceci montre la méthode de calcul qui détermine comment les thèmes et parties prenantes sont pondérés.</t>
  </si>
  <si>
    <t>Il s’agit d’une évaluation de la pertinence des chaînes d’approvisionnement et de la durabilité environnementale pour tous les secteurs industriels, utilisés dans la pondération.</t>
  </si>
  <si>
    <t>Il contient des statistiques pour les pays et régions utilisés dans la pondération.</t>
  </si>
  <si>
    <t>2. Détails de l'entreprise</t>
  </si>
  <si>
    <t>3. Score</t>
  </si>
  <si>
    <t>4. Matrice de l'EBC</t>
  </si>
  <si>
    <t>5. Etoile de valeurs</t>
  </si>
  <si>
    <t>6. Etoile de groupe</t>
  </si>
  <si>
    <t>7. Etoile des thèmes</t>
  </si>
  <si>
    <t>8. Description du modèle de pondération</t>
  </si>
  <si>
    <t>9. Pondération (caché)</t>
  </si>
  <si>
    <t>10. Secteurs industriels (caché)</t>
  </si>
  <si>
    <t>11. Pays et régions(caché)</t>
  </si>
  <si>
    <t>Le champ peut être décrit  (cadre en vert, texte en vert foncé)</t>
  </si>
  <si>
    <t>Le champ est en lecture seule (cadre gris, texte en gris foncé)</t>
  </si>
  <si>
    <t>Valeur saisie non valide (pour un calcul correct, changez la valeur)</t>
  </si>
  <si>
    <t>Les valeurs ne sont pas cohérentes</t>
  </si>
  <si>
    <t>oui</t>
  </si>
  <si>
    <t>non</t>
  </si>
  <si>
    <t>Questions concernant la préparation du bilan : beratung@gemeinwohl-oekonomie.org (GWÖ-BeraterInnen);</t>
  </si>
  <si>
    <t>Questions concernant l'audit : audit@gemeinwohl-oekonomie.org (GWÖ-AuditorInnen);</t>
  </si>
  <si>
    <t>Retour d'expériences pour le développement de la matrice : bilanz@ecogood.org (GWÖ-Matrix Entwicklungsteam);</t>
  </si>
  <si>
    <t>Programmation Excel : Christian Loy (christian.loy@gmx.at); Christian Kozina; Multilanguage-tool: Bernhard Oberrauch</t>
  </si>
  <si>
    <t>Toutes les feuilles sont configurées pour une impression en format A4 (paysage ou portrait). La hauteur des colonnes peut être ajustée, si vous aviez besoin de plus de texte.</t>
  </si>
  <si>
    <t>INFORMATIONS GENERALES SUR L'ENTREPRISE</t>
  </si>
  <si>
    <t>Merci de compléter tous les champs</t>
  </si>
  <si>
    <t>Nom de l'entreprise / organisation :</t>
  </si>
  <si>
    <t xml:space="preserve">Adresse : </t>
  </si>
  <si>
    <t xml:space="preserve">Pays : </t>
  </si>
  <si>
    <t>Secteur industriel :</t>
  </si>
  <si>
    <t xml:space="preserve">Site web : </t>
  </si>
  <si>
    <t>Nombre d'employés :</t>
  </si>
  <si>
    <t>entreprise unipersonnelle</t>
  </si>
  <si>
    <t>si oui, les données de calcul concernant les Entreprise individuelles sont automatiquement ajustées</t>
  </si>
  <si>
    <t>Bilan annuel</t>
  </si>
  <si>
    <t xml:space="preserve">Document créé par : </t>
  </si>
  <si>
    <t>Adresse e-mail :</t>
  </si>
  <si>
    <t>Numéro de téléphone :</t>
  </si>
  <si>
    <t xml:space="preserve">Consultant : </t>
  </si>
  <si>
    <t xml:space="preserve">Courte description de l'entreprise / organisation : </t>
  </si>
  <si>
    <t>Autres informations :</t>
  </si>
  <si>
    <t xml:space="preserve">CALCUL DES THEMES pris individuellement </t>
  </si>
  <si>
    <t xml:space="preserve">Entreprise / Organisation </t>
  </si>
  <si>
    <t xml:space="preserve">Année du bilan </t>
  </si>
  <si>
    <t>CALCUL DES ASPECTS INDIVIDUELS</t>
  </si>
  <si>
    <t>Total score bilan :</t>
  </si>
  <si>
    <t>Parties prenantes</t>
  </si>
  <si>
    <t>Parties prenantes/thèmes/aspects</t>
  </si>
  <si>
    <t xml:space="preserve">Pondération </t>
  </si>
  <si>
    <t>Très haut</t>
  </si>
  <si>
    <t>Haut</t>
  </si>
  <si>
    <t>Moyen</t>
  </si>
  <si>
    <t>Faible</t>
  </si>
  <si>
    <t>non concerné</t>
  </si>
  <si>
    <t>Explication</t>
  </si>
  <si>
    <t>Potentiel d'amélioration</t>
  </si>
  <si>
    <t>Estimation</t>
  </si>
  <si>
    <t>Parties prenantes/Thèmes/Aspects</t>
  </si>
  <si>
    <t>Les fournisseurs</t>
  </si>
  <si>
    <t>Dignité humaine dans la chaîne d'approvisionnement</t>
  </si>
  <si>
    <t>Conditions de travail et impacts ou conséquences sociales dans la chaîne d’approvisionnement</t>
  </si>
  <si>
    <t>Aspect négatif : Violation de la dignité humaine dans la chaîne d'approvisionnement</t>
  </si>
  <si>
    <t>Solidarité et équité dans la chaîne d'approvisionnement</t>
  </si>
  <si>
    <t>Relations commerciales équitables avec les fournisseurs directs</t>
  </si>
  <si>
    <t>Influence positive sur la solidarité et l'équité tout au long de la chaîne d'approvisionnement</t>
  </si>
  <si>
    <t>Aspect négatif : Exploiter le pouvoir de marché vis-à-vis des fournisseurs</t>
  </si>
  <si>
    <t>Durabilité écologique dans la chaîne d'approvisionnement</t>
  </si>
  <si>
    <t>Impacts environnementaux dans la chaîne d'approvisionnement</t>
  </si>
  <si>
    <t>Aspect négatif : Impact environnemental disproportionné dans la chaîne d'approvisionnement</t>
  </si>
  <si>
    <t>Transparence et co-décision dans la chaîne d'approvisionnement</t>
  </si>
  <si>
    <t>Droits à la transparence et à la co-décision pour les fournisseurs</t>
  </si>
  <si>
    <t>Influence positive sur la transparence et la co-décision tout au long de la chaîne d'approvisionnement</t>
  </si>
  <si>
    <t>Les propriétaires et partenaires financiers</t>
  </si>
  <si>
    <t>Attitude éthique face aux financements</t>
  </si>
  <si>
    <t>Indépendance financière grâce à l'autofinancement</t>
  </si>
  <si>
    <t>Financement par emprunt orienté bien commun</t>
  </si>
  <si>
    <t>Attitude éthique des partenaires financiers externes</t>
  </si>
  <si>
    <t>Attitude sociale face aux financements</t>
  </si>
  <si>
    <t>Utilisation solidaire et orientée bien commun des financements</t>
  </si>
  <si>
    <t>Aspect négatif : Répartition non équitable des fonds</t>
  </si>
  <si>
    <t>Investissement et utilisation socio-écologique des fonds financiers</t>
  </si>
  <si>
    <t>Qualité écologique des investissements</t>
  </si>
  <si>
    <t>Investissement orienté volontairement bien commun</t>
  </si>
  <si>
    <t>Aspect négatif : Dépendance à l'égard de ressources écologiquement discutables</t>
  </si>
  <si>
    <t>Propriété des capitaux et co-décision</t>
  </si>
  <si>
    <t>Structure de propriété orientée ECB</t>
  </si>
  <si>
    <t>Aspect négatif : Prise de contrôle hostile</t>
  </si>
  <si>
    <t>Les salariés</t>
  </si>
  <si>
    <t>Dignité humaine au travail</t>
  </si>
  <si>
    <t>Culture d'entreprise orientée salariés</t>
  </si>
  <si>
    <t>Promotion de la santé et sécurité au travail</t>
  </si>
  <si>
    <t>Diversité et égalité des chances</t>
  </si>
  <si>
    <t>Aspect négatif : Conditions de travail indignes</t>
  </si>
  <si>
    <t>Gestion des contrats de travail</t>
  </si>
  <si>
    <t>Les salaires et revenus</t>
  </si>
  <si>
    <t>Organisation du temps de travail</t>
  </si>
  <si>
    <t>Structure de la relation au travail et équilibre entre vie professionnelle et vie privée</t>
  </si>
  <si>
    <t>Aspect négatif : Injustices ou inéquités dans la gestion des contrats de travail</t>
  </si>
  <si>
    <t>Promotion du comportement environnemental des salariés</t>
  </si>
  <si>
    <t>Alimentation pendant les heures de travail</t>
  </si>
  <si>
    <t>Mobilité sur le lieu de travail</t>
  </si>
  <si>
    <t>Culture organisationnelle, sensibilisation à la conception ou la mise en œuvre de processus écologiques</t>
  </si>
  <si>
    <t>Aspect négatif : Indications sur le gaspillage / la tolérance du comportement non-écologique</t>
  </si>
  <si>
    <t>Co-décision interne et transparence</t>
  </si>
  <si>
    <t>Transparence interne</t>
  </si>
  <si>
    <t>Légitimité des gestionnaires ou de l’encadrement</t>
  </si>
  <si>
    <t>Codécision des salariés</t>
  </si>
  <si>
    <t>Aspect négatif : Frein au fonctionnement des instances représentatives du personnel (comité d'entreprise)</t>
  </si>
  <si>
    <t>Les clients et entreprises partenaires</t>
  </si>
  <si>
    <t>Relations éthiques avec les clients</t>
  </si>
  <si>
    <t>Communication décente et digne avec les clients</t>
  </si>
  <si>
    <t>Accessibilité</t>
  </si>
  <si>
    <t>Aspect négatif : Publicité contraire à l'éthique</t>
  </si>
  <si>
    <t>Coopération et solidarité avec les autres entreprises partenaires</t>
  </si>
  <si>
    <t>Coopération avec des entreprises partenaires</t>
  </si>
  <si>
    <t>Solidarité avec les entreprises partenaires</t>
  </si>
  <si>
    <t>Aspect négatif : Abus de pouvoir de marché vis-à-vis des entreprises partenaires</t>
  </si>
  <si>
    <t>Impact écologique par l'utilisation et l'élimination de produits et services</t>
  </si>
  <si>
    <t>Rapport coût-bénéfice écologique des produits et services (efficacité et cohérence)</t>
  </si>
  <si>
    <t>Utilisation modérée des produits et services (suffisance)</t>
  </si>
  <si>
    <t>Aspect négatif : Acceptation consciente d'effets écologiques disproportionnés</t>
  </si>
  <si>
    <t>Implication et participation du client et transparence du produit</t>
  </si>
  <si>
    <t>Participation des clients, développement conjoint de produits et des études de marché</t>
  </si>
  <si>
    <t>Transparence des produits</t>
  </si>
  <si>
    <t>Aspect négatif : Pas d'identification des substances dangereuses</t>
  </si>
  <si>
    <t>Environnement social</t>
  </si>
  <si>
    <t>Sens et impact social des produits et services</t>
  </si>
  <si>
    <t>Les produits et services couvrent les besoins de base et contribuent à rendre la vie saine et simple</t>
  </si>
  <si>
    <t>Impact social des produits et services</t>
  </si>
  <si>
    <t>Aspect négatif : Produits et services indignes</t>
  </si>
  <si>
    <t>Contribution à la communauté, au collectif, au bien commun</t>
  </si>
  <si>
    <t>Impôts et cotisations sociales</t>
  </si>
  <si>
    <t>Contributions volontaires à la construction communautaire ou au bien commun</t>
  </si>
  <si>
    <t>Aspect négatif : Évasion fiscale illégitime</t>
  </si>
  <si>
    <t>Aspect négatif : Manque de prévention de la corruption</t>
  </si>
  <si>
    <t>Réduction des impacts écologiques</t>
  </si>
  <si>
    <t>Impact absolu / Gestion et stratégie</t>
  </si>
  <si>
    <t>Effets relatifs</t>
  </si>
  <si>
    <t>Aspect négatif : Violations des réglementations environnementales et impact environnemental inapproprié</t>
  </si>
  <si>
    <t>Transparence et co-décision sociale</t>
  </si>
  <si>
    <t>Transparence</t>
  </si>
  <si>
    <t>Co-décision sociale</t>
  </si>
  <si>
    <t>Aspect négatif : Promotion délibérée de la non-transparence et de la désinformation</t>
  </si>
  <si>
    <t>Détails sur l'entreprise</t>
  </si>
  <si>
    <t>S'il vous plaît, remplissez les champs surlignés(sélectionnés) en couleurs avec des données pour la période d'établissement du bilan, le plus souvent l'année de l'exercice. Au cas où la période d'établissement du bilan est plus longue que 1 an, vous pouvez aussi choisir un exercice parmi la période d'établissement du bilan. Si aucune donnée concrète n'est présente, indiquez alors de grossières estimations, autrement le calcul sera faux.</t>
  </si>
  <si>
    <t>Remplir s'il vous plaît</t>
  </si>
  <si>
    <t>Choisir s'il vous plaît</t>
  </si>
  <si>
    <t>Description du modèle de pondération</t>
  </si>
  <si>
    <t>Sujets</t>
  </si>
  <si>
    <t>Parties prenantes et valeurs</t>
  </si>
  <si>
    <t>Général</t>
  </si>
  <si>
    <t xml:space="preserve">Echelonné pour les entreprises individuelles ou unipersonnelles </t>
  </si>
  <si>
    <t>Non pertinent pour les entreprises individuelles ou unipersonelles</t>
  </si>
  <si>
    <t>Notez bien : Ce n'est pas un certificat</t>
  </si>
  <si>
    <t>points</t>
  </si>
  <si>
    <t>Dignité humaine</t>
  </si>
  <si>
    <t>Solidarité &amp; équité sociale</t>
  </si>
  <si>
    <t>Durabilité écologique</t>
  </si>
  <si>
    <t>Transparence &amp; co-décision</t>
  </si>
  <si>
    <t>APERÇU DU BILAN</t>
  </si>
  <si>
    <t>TRANSPARENCE &amp; CO-DECISION</t>
  </si>
  <si>
    <t>DIGNITÉ HUMAINE</t>
  </si>
  <si>
    <t>SOLIDARITÉ</t>
  </si>
  <si>
    <t>DURABILITÉ ÉCOLOGIQUE</t>
  </si>
  <si>
    <t>EQUITE SOCIALE</t>
  </si>
  <si>
    <t>Documentation de l'évaluation</t>
  </si>
  <si>
    <t>Auto-évaluation</t>
  </si>
  <si>
    <t>Evaluation par des pairs</t>
  </si>
  <si>
    <t>Evaluation provisoire de l'audit externe</t>
  </si>
  <si>
    <t>évaluation définitive  de l'audit externe ou du groupe de pairs</t>
  </si>
  <si>
    <t>Mot de passe pour la protection de la feuille Excel "ebc"</t>
  </si>
  <si>
    <t>Pondération modifiée. Original</t>
  </si>
  <si>
    <t xml:space="preserve">Etoile de valeurs pour </t>
  </si>
  <si>
    <t>Etoile de groupes pour</t>
  </si>
  <si>
    <t xml:space="preserve">Etoile de thèmes pour </t>
  </si>
  <si>
    <t>La répartition un peu rigide de points équivalents pour toutes les entreprises a été au coeur de nombreuses discussions, au sein de l'équipe de développement de la matrice au cours des années passées. De nombreuses questions et réponses critiques nous ont également été transmises par l'extérieur. Jusqu'ici, la répartition des points sur les thèmes était la même pour toutes les entreprises (à l'exception des entreprises individuelles ou unipersonnelles ), indépendamment de la taille d'entreprise, de la branche et d'autres conditions générales (le contexte régional, B2B versus B2C, etc.). Mais ces variables n'ont vraisemblablement pas d'effet pertinent pour le Bien Commun. Par exemple, la chaîne d'approvisionnement d'une entreprise de vente de matériels électroniques (A1-A4) est probablement plus à considérer que l'entreprise d'industrie minière, qui pourtant, de son côté, laisse entre autres, un énorme impact environnemental direct (E3). Le nouveau modèle de pondération aborde ces questions et met en lumière les facteurs les plus importants. Un sondage sur cette évolution de la matrice a été mené et les commentaires ont clairement favorisé cette nouvelle approche.</t>
  </si>
  <si>
    <t xml:space="preserve">Pour la pondération de 3 groupes de parties prenantes A) fournisseurs, B) investisseurs et C)collaborateurs, la matrice prend en compte les flux financiers en direction de ces parties prenantes : A) des dépenses d'approvisionnement, B) le bénéfice et les frais financiers C) les rémunérations et salaires. Nous avons conscience de la limite de l'approche financière dans cette matrice et nous prévoyons de réfléchir à son amélioration dans le futur. Cependant, ces informations sont disponibles dans le bilan financier des entreprises et donc rejoint facilement les soucis de simplification de celles-ci. Étant donné que les impôts et les coûts des emprunts sont inclus dans les dépenses générales, ils ne représentent que 50 % de la pondération. </t>
  </si>
  <si>
    <t>Il existe également des critères de pondération des thèmes, par exemple la taille d’une entreprise ou la branche ou la législation locale pertinente en matière d’emploi. Nous utilisons la Classification Internationale standard industrielle des Nations Unies sur toutes les activités économiques (CITI Rév. 4) pour toutes les définitions des branches et secteurs de l’industrie. Pour la classification de la taille des entreprises, nous utilisons les définitions établies par l’UE . Le tableau ci-dessous résume les facteurs de pondération actuels (en date de mai 2017).</t>
  </si>
  <si>
    <t>La pondération de ce sujet dépend des risques sociaux des branches et secteurs de fournisseurs</t>
  </si>
  <si>
    <t>La pondération de ce sujet dépend des impacts environnementaux de la branche ou du secteur des fournisseurs (voir la partie "industrie")</t>
  </si>
  <si>
    <t>La pondération de ce sujet dépend des droits de co-décision dans les pays des industries d'approvisionnement les plus importantes (sur la base de l’indice ILUC de l’Union Internationale du Travail).</t>
  </si>
  <si>
    <t>La pondération de ce thème dépend du ratio du chiffre d’affaires par rapport au total du bilan.</t>
  </si>
  <si>
    <t>La pondération de ce thème dépend du ratio profit/chiffre d’affaires</t>
  </si>
  <si>
    <t>La pondération de ce thème dépend des ajouts aux immobilisations et aux actifs financiers par rapport au total du bilan.</t>
  </si>
  <si>
    <t>La pondération de ce sujet dépend de la taille de l'entreprise</t>
  </si>
  <si>
    <t>La pondération de ce thème dépend de l’existence d’une cantine pour la plupart des collaborateurs ainsi que d’une moyenne (estimée) des déplacements au travail.</t>
  </si>
  <si>
    <t>La pondération de ce thème dépend de la taille des entreprises et des droits de co-décision dans les pays des industries les plus importantes (sur la base de l’indice ILUC de l’Union Internationale du Travail).</t>
  </si>
  <si>
    <t>La pondération de ce sujet dépend du secteur ou de la branche industriel.</t>
  </si>
  <si>
    <t>La pondération de ce thème dépend si les clients sont principalement des individus ou des entreprises.</t>
  </si>
  <si>
    <t>La pondération de ce thème dépend de la rentabilité des ventes (profit/chiffre d’affaires).</t>
  </si>
  <si>
    <t>La pondération de ce sujet dépend de la taille de l'entreprise et du secteur industriel.</t>
  </si>
  <si>
    <t>A - Agriculture, gestion forestière, industrie de la pêche</t>
  </si>
  <si>
    <t>B - Exploitation minière et de carrières (industries extractives)</t>
  </si>
  <si>
    <t>C - Industries manufacturières (sans autre spécification)</t>
  </si>
  <si>
    <t>Ca - Production alimentaire, boissons et tabac (C10, C11, C12)</t>
  </si>
  <si>
    <t>Cb - Production textile, d'habillement, cuir et produits à base de cuir (C13, C14, C15)</t>
  </si>
  <si>
    <t>Cc - Papier et produits forestier, ainsi que les matières imprimées (C16, C17, C18)</t>
  </si>
  <si>
    <t>Cd - Production de produits issus de l'industrie pétrochimique et plastiques (C19, C20, C21)</t>
  </si>
  <si>
    <t>Ce - Produits pharmaceuthiques et préparations (C21)</t>
  </si>
  <si>
    <t>Cf - Production de minéraux non métalliques (C23)</t>
  </si>
  <si>
    <t>Cg - Production de métal et produits métalliques (sauf machines et équipements) (C24, C25)</t>
  </si>
  <si>
    <t>Ch - Production d'équipements, instruments et composants électroniques, ainsi que les ordinateurs (C26, C27, C28)</t>
  </si>
  <si>
    <t>D - approvisonnement en Électricité, gaz, vapeur et réfrigération</t>
  </si>
  <si>
    <t>E - Distribution d'eau, gestion des déchêts</t>
  </si>
  <si>
    <t>F - Industrie de construction</t>
  </si>
  <si>
    <t>G - Grossistes et détaillants</t>
  </si>
  <si>
    <t>H - Transport et stockage</t>
  </si>
  <si>
    <t>I - Hébergement et restauration</t>
  </si>
  <si>
    <t>J - Information et communication</t>
  </si>
  <si>
    <t>K - Services financiers</t>
  </si>
  <si>
    <t>L - Immobilier</t>
  </si>
  <si>
    <t>M - Services techniques et scientifiques par des indépendants</t>
  </si>
  <si>
    <t>N - Services administratif et de support</t>
  </si>
  <si>
    <t>O - Administration publique ; défense ; sécurité sociale</t>
  </si>
  <si>
    <t>P - Education formation</t>
  </si>
  <si>
    <t>Q - Santé et travail social</t>
  </si>
  <si>
    <t>R - Art, éducation et loisirs</t>
  </si>
  <si>
    <t>S - Autres services</t>
  </si>
  <si>
    <t>T - Secteur privé / particuliers</t>
  </si>
  <si>
    <t xml:space="preserve">U - Organisations et organismes extra-territoriaux </t>
  </si>
  <si>
    <t>Total des achats par les fournisseurs (en Euros) :</t>
  </si>
  <si>
    <t xml:space="preserve">Entrer les 5 secteurs principaux secteurs ou branches industriels de produits et de services que vous utilisez. </t>
  </si>
  <si>
    <t>Secteur ou branche industriel</t>
  </si>
  <si>
    <t>Région d'origine</t>
  </si>
  <si>
    <t>Coûts</t>
  </si>
  <si>
    <t>Origine principales des autres fournisseurs</t>
  </si>
  <si>
    <t>Bénéfice</t>
  </si>
  <si>
    <t>Coûts financiers</t>
  </si>
  <si>
    <t>Revenu d'investissements financiers</t>
  </si>
  <si>
    <t>Total des actifs</t>
  </si>
  <si>
    <t>Acquisitions d' immobilisations</t>
  </si>
  <si>
    <t>Actifs financiers et solde de trésorerie</t>
  </si>
  <si>
    <t>Nombre d'employés (équivalent temps plein)</t>
  </si>
  <si>
    <t>Coût du travail (brut sans la contribution de l'employeur)</t>
  </si>
  <si>
    <t>Entrer les 3 principaux pays où se trouve la plus grande proportions d'employés</t>
  </si>
  <si>
    <t>Pays et Région</t>
  </si>
  <si>
    <t>nombre en %</t>
  </si>
  <si>
    <t>itinéraire moyen pour se rendre au travail (km)</t>
  </si>
  <si>
    <t>Y-a-t-il une cantine pour la majorité des employés ?</t>
  </si>
  <si>
    <t>Chiffre d'affaire (en Euros)</t>
  </si>
  <si>
    <t>Vos clients sont-ils majoritairement d'autres entreprises ?</t>
  </si>
  <si>
    <t>Entrer les 3 principaux secteurs industriels avec lesquels votre entreprise est active, incluant une part importante du chiffre d'affaire, même approximative</t>
  </si>
  <si>
    <t>% Montant du chiffre d'affaire total</t>
  </si>
  <si>
    <t>Taille de l'entreprise</t>
  </si>
  <si>
    <t>Micro entreprise</t>
  </si>
  <si>
    <t>Petite entreprise</t>
  </si>
  <si>
    <t>Moyenne entreprise</t>
  </si>
  <si>
    <t>Grande entreprise</t>
  </si>
  <si>
    <t>Cette feuille de calcul est utilisée pour élaborer le bilan du Bien commun</t>
  </si>
  <si>
    <t>Introduire la valeur entre 0 et 10</t>
  </si>
  <si>
    <t>Introduire les points négatifs entre 0 et -200</t>
  </si>
  <si>
    <t>Moyenne globale</t>
  </si>
  <si>
    <t xml:space="preserve">Afrique </t>
  </si>
  <si>
    <t>Afrique du Nord et Moyen-Orient</t>
  </si>
  <si>
    <t>Amérique Latine</t>
  </si>
  <si>
    <t>Amérique du Nord &amp; Océanie</t>
  </si>
  <si>
    <t>Asie</t>
  </si>
  <si>
    <t>République Centrafricaine</t>
  </si>
  <si>
    <t>Suisse (confédération helvétique)</t>
  </si>
  <si>
    <t>Afrique en général</t>
  </si>
  <si>
    <t>Asie en général</t>
  </si>
  <si>
    <t>Europe en général</t>
  </si>
  <si>
    <t>Océanie en général</t>
  </si>
  <si>
    <t>Le Monde en général</t>
  </si>
  <si>
    <t>Origine prédominante des fournisseurs restants</t>
  </si>
  <si>
    <t>Cet outil sert à calculer le total des points de l'EBC pour votre entreprise ou organisation. Il complète le rapport de l'Economie pour le Bien Commun et doit être utiliser en lien avec le rapport. Bonne chance pour vos calculs !</t>
  </si>
  <si>
    <t xml:space="preserve">Pour chaque thème (A1, B1, …) un nombre maximum de Points pour le Bien Commun peuvent être atteints. Pour évaluer combien de points votre entreprise a cumulé, suivez ces étapes : </t>
  </si>
  <si>
    <t>L'étoile des valeurs affiche vos résultats en les disposant par valeur comme un graphique.</t>
  </si>
  <si>
    <t>L' étoile groupe affiche vos résultats en les disposant par partie prenante comme un graphique.</t>
  </si>
  <si>
    <t>L'étoile des thèmes affiche les résultats de vos rubriques comme un graphique.</t>
  </si>
  <si>
    <t>Contenus : MDT (ECG-Matrix Development Team)</t>
  </si>
  <si>
    <t>Calculateur du bilan de l'Economie pour le Bien Commun</t>
  </si>
  <si>
    <t>Valeurs ►
Parties prenantes ▼</t>
  </si>
  <si>
    <t>MATRICE DE L'ECONOMIE POUR LE BIEN COMMUN</t>
  </si>
  <si>
    <t>Etoile pour le Bien Commun</t>
  </si>
  <si>
    <t>Update ITUC index and PPP index for weighting
Delete rounding in some formulas. The rounding should be visible but the number stays so that the calculations are not affected. Info added about the rounding.
French added</t>
  </si>
  <si>
    <t>5.06</t>
  </si>
  <si>
    <t>No data in company facts</t>
  </si>
  <si>
    <t>Wrong formula while considering the size of the company for the weighting in B4, C4 and E4.
If there is no data in Company Facts, weighting is equally weighted.
Pink conditional formatting when "canteen" and "b2b/c" field in company facts is zero.
Improve editing of new languages (consistency in formulas is assured)</t>
  </si>
  <si>
    <t>5.07</t>
  </si>
  <si>
    <t>5.08</t>
  </si>
  <si>
    <t>Fixed bug in sheet "11. Region" where the formulas of I3 to I8 didn't cover the whole region table ($A$21:$I$242 instead of $A$21:$I$134) (by Christian Süßenguth)</t>
  </si>
  <si>
    <t>Added missing rounding of percentages in sheet 4 (by Christian Süßenguth)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</si>
</sst>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
    <numFmt numFmtId="165" formatCode="0.0"/>
    <numFmt numFmtId="166" formatCode="* #,##0.00\ ;\-* #,##0.00\ ;* \-#\ ;@\ "/>
    <numFmt numFmtId="167" formatCode="* #,##0\ ;\-* #,##0\ ;* \-#\ ;@\ "/>
    <numFmt numFmtId="168" formatCode="0.000"/>
    <numFmt numFmtId="169" formatCode="#,##0.0_ ;\-#,##0.0\ "/>
    <numFmt numFmtId="170" formatCode="* #,##0.0\ ;\-* #,##0.0\ ;* \-#\ ;@\ "/>
    <numFmt numFmtId="171" formatCode="#,##0.0"/>
  </numFmts>
  <fonts count="94">
    <font>
      <sz val="11"/>
      <color indexed="8"/>
      <name val="Calibri"/>
      <family val="2"/>
    </font>
    <font>
      <sz val="10"/>
      <name val="Arial"/>
      <family val="2"/>
    </font>
    <font>
      <sz val="10"/>
      <color indexed="9"/>
      <name val="Calibri"/>
      <family val="2"/>
    </font>
    <font>
      <b/>
      <sz val="10"/>
      <color indexed="8"/>
      <name val="Calibri"/>
      <family val="2"/>
    </font>
    <font>
      <sz val="10"/>
      <color indexed="16"/>
      <name val="Calibri"/>
      <family val="2"/>
    </font>
    <font>
      <b/>
      <sz val="10"/>
      <color indexed="9"/>
      <name val="Calibri"/>
      <family val="2"/>
    </font>
    <font>
      <i/>
      <sz val="10"/>
      <color indexed="23"/>
      <name val="Calibri"/>
      <family val="2"/>
    </font>
    <font>
      <sz val="10"/>
      <color indexed="58"/>
      <name val="Calibri"/>
      <family val="2"/>
    </font>
    <font>
      <sz val="18"/>
      <color indexed="8"/>
      <name val="Calibri"/>
      <family val="2"/>
    </font>
    <font>
      <sz val="12"/>
      <color indexed="8"/>
      <name val="Calibri"/>
      <family val="2"/>
    </font>
    <font>
      <b/>
      <sz val="24"/>
      <color indexed="8"/>
      <name val="Calibri"/>
      <family val="2"/>
    </font>
    <font>
      <sz val="10"/>
      <color indexed="63"/>
      <name val="Calibri"/>
      <family val="2"/>
    </font>
    <font>
      <sz val="11"/>
      <color indexed="8"/>
      <name val="Arial"/>
      <family val="2"/>
    </font>
    <font>
      <b/>
      <sz val="16"/>
      <color indexed="50"/>
      <name val="Arial"/>
      <family val="2"/>
    </font>
    <font>
      <b/>
      <sz val="11"/>
      <color indexed="63"/>
      <name val="Arial"/>
      <family val="2"/>
    </font>
    <font>
      <b/>
      <sz val="11"/>
      <color indexed="50"/>
      <name val="Arial"/>
      <family val="2"/>
    </font>
    <font>
      <sz val="11"/>
      <color indexed="63"/>
      <name val="Arial"/>
      <family val="2"/>
    </font>
    <font>
      <u/>
      <sz val="11"/>
      <color indexed="12"/>
      <name val="Calibri"/>
      <family val="2"/>
    </font>
    <font>
      <b/>
      <u/>
      <sz val="11"/>
      <name val="Arial"/>
      <family val="2"/>
    </font>
    <font>
      <b/>
      <u/>
      <sz val="11"/>
      <color indexed="8"/>
      <name val="Arial"/>
      <family val="2"/>
    </font>
    <font>
      <sz val="11"/>
      <name val="Arial"/>
      <family val="2"/>
    </font>
    <font>
      <sz val="11"/>
      <color indexed="50"/>
      <name val="Arial"/>
      <family val="2"/>
    </font>
    <font>
      <b/>
      <sz val="11"/>
      <color indexed="9"/>
      <name val="Arial"/>
      <family val="2"/>
    </font>
    <font>
      <sz val="16"/>
      <color indexed="8"/>
      <name val="Arial"/>
      <family val="2"/>
    </font>
    <font>
      <sz val="11"/>
      <color indexed="9"/>
      <name val="Arial"/>
      <family val="2"/>
    </font>
    <font>
      <b/>
      <sz val="11"/>
      <color indexed="8"/>
      <name val="Arial"/>
      <family val="2"/>
    </font>
    <font>
      <b/>
      <sz val="11"/>
      <color indexed="60"/>
      <name val="Arial"/>
      <family val="2"/>
    </font>
    <font>
      <sz val="8"/>
      <color indexed="8"/>
      <name val="Arial"/>
      <family val="2"/>
    </font>
    <font>
      <sz val="6"/>
      <color indexed="8"/>
      <name val="Arial"/>
      <family val="2"/>
    </font>
    <font>
      <b/>
      <sz val="8"/>
      <color indexed="10"/>
      <name val="Arial"/>
      <family val="2"/>
    </font>
    <font>
      <sz val="11"/>
      <color indexed="9"/>
      <name val="Calibri"/>
      <family val="2"/>
    </font>
    <font>
      <b/>
      <sz val="9"/>
      <color indexed="63"/>
      <name val="Arial"/>
      <family val="2"/>
    </font>
    <font>
      <b/>
      <sz val="11"/>
      <color indexed="10"/>
      <name val="Arial"/>
      <family val="2"/>
    </font>
    <font>
      <sz val="9"/>
      <color indexed="50"/>
      <name val="Arial"/>
      <family val="2"/>
    </font>
    <font>
      <sz val="9"/>
      <name val="Arial"/>
      <family val="2"/>
    </font>
    <font>
      <sz val="11"/>
      <color indexed="22"/>
      <name val="Arial"/>
      <family val="2"/>
    </font>
    <font>
      <b/>
      <sz val="9"/>
      <color indexed="50"/>
      <name val="Arial"/>
      <family val="2"/>
    </font>
    <font>
      <b/>
      <sz val="9"/>
      <color indexed="9"/>
      <name val="Arial"/>
      <family val="2"/>
    </font>
    <font>
      <sz val="9"/>
      <color indexed="8"/>
      <name val="Calibri"/>
      <family val="2"/>
    </font>
    <font>
      <sz val="9"/>
      <color indexed="8"/>
      <name val="Cambria"/>
      <family val="1"/>
    </font>
    <font>
      <b/>
      <sz val="12"/>
      <color indexed="8"/>
      <name val="Cambria"/>
      <family val="1"/>
    </font>
    <font>
      <sz val="8"/>
      <color indexed="9"/>
      <name val="Cambria"/>
      <family val="1"/>
    </font>
    <font>
      <b/>
      <sz val="9"/>
      <color indexed="8"/>
      <name val="Cambria"/>
      <family val="1"/>
    </font>
    <font>
      <b/>
      <sz val="50"/>
      <color indexed="8"/>
      <name val="Cambria"/>
      <family val="1"/>
    </font>
    <font>
      <b/>
      <sz val="25"/>
      <color indexed="8"/>
      <name val="Cambria"/>
      <family val="1"/>
    </font>
    <font>
      <sz val="15"/>
      <color indexed="9"/>
      <name val="Cambria"/>
      <family val="1"/>
    </font>
    <font>
      <b/>
      <sz val="8"/>
      <color indexed="8"/>
      <name val="Cambria"/>
      <family val="1"/>
    </font>
    <font>
      <sz val="8"/>
      <color indexed="8"/>
      <name val="Cambria"/>
      <family val="1"/>
    </font>
    <font>
      <b/>
      <sz val="8"/>
      <color indexed="60"/>
      <name val="Cambria"/>
      <family val="1"/>
    </font>
    <font>
      <b/>
      <sz val="8"/>
      <color indexed="9"/>
      <name val="Cambria"/>
      <family val="1"/>
    </font>
    <font>
      <b/>
      <sz val="8"/>
      <name val="Cambria"/>
      <family val="1"/>
    </font>
    <font>
      <b/>
      <sz val="20"/>
      <color indexed="8"/>
      <name val="Cambria"/>
      <family val="1"/>
    </font>
    <font>
      <b/>
      <sz val="12"/>
      <color indexed="9"/>
      <name val="Cambria"/>
      <family val="1"/>
    </font>
    <font>
      <b/>
      <sz val="15"/>
      <color indexed="9"/>
      <name val="Cambria"/>
      <family val="1"/>
    </font>
    <font>
      <b/>
      <sz val="9"/>
      <color indexed="9"/>
      <name val="Cambria"/>
      <family val="1"/>
    </font>
    <font>
      <sz val="8"/>
      <color indexed="10"/>
      <name val="Cambria"/>
      <family val="1"/>
    </font>
    <font>
      <sz val="8"/>
      <name val="Cambria"/>
      <family val="1"/>
    </font>
    <font>
      <sz val="9"/>
      <color indexed="10"/>
      <name val="Cambria"/>
      <family val="1"/>
    </font>
    <font>
      <sz val="8"/>
      <color indexed="8"/>
      <name val="Segoe UI"/>
      <family val="2"/>
    </font>
    <font>
      <b/>
      <sz val="8"/>
      <color indexed="8"/>
      <name val="Segoe UI"/>
      <family val="2"/>
    </font>
    <font>
      <b/>
      <sz val="10"/>
      <color indexed="63"/>
      <name val="Arial"/>
      <family val="2"/>
    </font>
    <font>
      <b/>
      <sz val="15"/>
      <color indexed="50"/>
      <name val="Arial"/>
      <family val="2"/>
    </font>
    <font>
      <sz val="10"/>
      <color indexed="9"/>
      <name val="Arial"/>
      <family val="2"/>
    </font>
    <font>
      <b/>
      <sz val="10"/>
      <color indexed="9"/>
      <name val="Arial"/>
      <family val="2"/>
    </font>
    <font>
      <sz val="10"/>
      <color indexed="63"/>
      <name val="Arial"/>
      <family val="2"/>
    </font>
    <font>
      <b/>
      <sz val="11"/>
      <color indexed="8"/>
      <name val="Calibri"/>
      <family val="2"/>
    </font>
    <font>
      <sz val="11"/>
      <name val="Wingdings 3"/>
      <family val="1"/>
    </font>
    <font>
      <b/>
      <sz val="11"/>
      <color indexed="11"/>
      <name val="Arial"/>
      <family val="2"/>
    </font>
    <font>
      <sz val="9"/>
      <color indexed="8"/>
      <name val="Arial"/>
      <family val="2"/>
    </font>
    <font>
      <sz val="8"/>
      <color indexed="9"/>
      <name val="Arial"/>
      <family val="2"/>
    </font>
    <font>
      <b/>
      <sz val="8"/>
      <color indexed="9"/>
      <name val="Arial"/>
      <family val="2"/>
    </font>
    <font>
      <b/>
      <sz val="8"/>
      <color indexed="8"/>
      <name val="Arial"/>
      <family val="2"/>
    </font>
    <font>
      <b/>
      <sz val="7"/>
      <color indexed="8"/>
      <name val="Arial"/>
      <family val="2"/>
    </font>
    <font>
      <sz val="7"/>
      <color indexed="8"/>
      <name val="Arial"/>
      <family val="2"/>
    </font>
    <font>
      <sz val="8"/>
      <color indexed="60"/>
      <name val="Arial"/>
      <family val="2"/>
    </font>
    <font>
      <b/>
      <sz val="12"/>
      <color indexed="8"/>
      <name val="Arial"/>
      <family val="2"/>
    </font>
    <font>
      <b/>
      <sz val="9"/>
      <color indexed="8"/>
      <name val="Calibri"/>
      <family val="2"/>
    </font>
    <font>
      <sz val="11"/>
      <color indexed="10"/>
      <name val="Calibri"/>
      <family val="2"/>
    </font>
    <font>
      <u/>
      <sz val="11"/>
      <color indexed="8"/>
      <name val="Calibri"/>
      <family val="2"/>
    </font>
    <font>
      <sz val="11"/>
      <color indexed="17"/>
      <name val="Calibri"/>
      <family val="2"/>
    </font>
    <font>
      <sz val="11"/>
      <color indexed="12"/>
      <name val="Arial"/>
      <family val="2"/>
    </font>
    <font>
      <sz val="8"/>
      <color indexed="12"/>
      <name val="Arial"/>
      <family val="2"/>
    </font>
    <font>
      <sz val="11"/>
      <color indexed="8"/>
      <name val="ArialMT"/>
    </font>
    <font>
      <sz val="10"/>
      <name val="Verdana"/>
      <family val="2"/>
    </font>
    <font>
      <sz val="11"/>
      <color indexed="8"/>
      <name val="Calibri"/>
      <family val="2"/>
    </font>
    <font>
      <sz val="11"/>
      <color theme="1"/>
      <name val="Calibri"/>
      <family val="2"/>
      <scheme val="minor"/>
    </font>
    <font>
      <b/>
      <sz val="11"/>
      <color rgb="FFFF0000"/>
      <name val="Arial"/>
      <family val="2"/>
    </font>
    <font>
      <sz val="11"/>
      <color rgb="FFFF0000"/>
      <name val="Arial"/>
      <family val="2"/>
    </font>
    <font>
      <b/>
      <sz val="12"/>
      <color theme="0"/>
      <name val="Arial"/>
      <family val="2"/>
    </font>
    <font>
      <sz val="11"/>
      <color rgb="FFFF0000"/>
      <name val="Calibri"/>
      <family val="2"/>
    </font>
    <font>
      <sz val="11"/>
      <color rgb="FF333333"/>
      <name val="Arial"/>
      <family val="2"/>
    </font>
    <font>
      <sz val="11"/>
      <color rgb="FF99CC00"/>
      <name val="Arial"/>
      <family val="2"/>
    </font>
    <font>
      <sz val="10"/>
      <color indexed="50"/>
      <name val="Arial"/>
      <family val="2"/>
    </font>
    <font>
      <sz val="9"/>
      <color theme="0"/>
      <name val="Cambria"/>
      <family val="1"/>
    </font>
  </fonts>
  <fills count="23">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27"/>
      </patternFill>
    </fill>
    <fill>
      <patternFill patternType="solid">
        <fgColor indexed="43"/>
        <bgColor indexed="47"/>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59"/>
        <bgColor indexed="63"/>
      </patternFill>
    </fill>
    <fill>
      <patternFill patternType="solid">
        <fgColor indexed="50"/>
        <bgColor indexed="51"/>
      </patternFill>
    </fill>
    <fill>
      <patternFill patternType="solid">
        <fgColor indexed="44"/>
        <bgColor indexed="24"/>
      </patternFill>
    </fill>
    <fill>
      <patternFill patternType="solid">
        <fgColor indexed="25"/>
        <bgColor indexed="23"/>
      </patternFill>
    </fill>
    <fill>
      <patternFill patternType="solid">
        <fgColor indexed="47"/>
        <bgColor indexed="43"/>
      </patternFill>
    </fill>
    <fill>
      <patternFill patternType="solid">
        <fgColor indexed="34"/>
        <bgColor indexed="13"/>
      </patternFill>
    </fill>
    <fill>
      <patternFill patternType="solid">
        <fgColor indexed="60"/>
        <bgColor indexed="16"/>
      </patternFill>
    </fill>
    <fill>
      <patternFill patternType="solid">
        <fgColor indexed="27"/>
        <bgColor indexed="31"/>
      </patternFill>
    </fill>
    <fill>
      <patternFill patternType="solid">
        <fgColor indexed="53"/>
        <bgColor indexed="29"/>
      </patternFill>
    </fill>
    <fill>
      <patternFill patternType="solid">
        <fgColor indexed="49"/>
        <bgColor indexed="11"/>
      </patternFill>
    </fill>
    <fill>
      <patternFill patternType="solid">
        <fgColor rgb="FF99CC00"/>
        <bgColor indexed="26"/>
      </patternFill>
    </fill>
    <fill>
      <patternFill patternType="solid">
        <fgColor rgb="FF99CC00"/>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right/>
      <top style="thin">
        <color indexed="55"/>
      </top>
      <bottom style="thin">
        <color indexed="55"/>
      </bottom>
      <diagonal/>
    </border>
    <border>
      <left/>
      <right/>
      <top style="thin">
        <color indexed="50"/>
      </top>
      <bottom style="thin">
        <color indexed="50"/>
      </bottom>
      <diagonal/>
    </border>
    <border>
      <left/>
      <right/>
      <top style="thin">
        <color indexed="8"/>
      </top>
      <bottom/>
      <diagonal/>
    </border>
    <border>
      <left/>
      <right/>
      <top/>
      <bottom style="thin">
        <color indexed="8"/>
      </bottom>
      <diagonal/>
    </border>
    <border>
      <left/>
      <right/>
      <top style="thin">
        <color indexed="55"/>
      </top>
      <bottom/>
      <diagonal/>
    </border>
    <border>
      <left/>
      <right/>
      <top/>
      <bottom style="thin">
        <color indexed="50"/>
      </bottom>
      <diagonal/>
    </border>
    <border>
      <left/>
      <right/>
      <top/>
      <bottom style="thin">
        <color indexed="55"/>
      </bottom>
      <diagonal/>
    </border>
    <border>
      <left/>
      <right/>
      <top style="thin">
        <color indexed="50"/>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ck">
        <color indexed="25"/>
      </left>
      <right style="thick">
        <color indexed="25"/>
      </right>
      <top style="thick">
        <color indexed="25"/>
      </top>
      <bottom style="thick">
        <color indexed="25"/>
      </bottom>
      <diagonal/>
    </border>
    <border>
      <left style="thick">
        <color indexed="60"/>
      </left>
      <right style="thick">
        <color indexed="60"/>
      </right>
      <top style="thick">
        <color indexed="60"/>
      </top>
      <bottom style="thick">
        <color indexed="60"/>
      </bottom>
      <diagonal/>
    </border>
    <border>
      <left/>
      <right/>
      <top style="dashed">
        <color indexed="8"/>
      </top>
      <bottom/>
      <diagonal/>
    </border>
    <border>
      <left style="dashed">
        <color indexed="8"/>
      </left>
      <right style="dashed">
        <color indexed="8"/>
      </right>
      <top/>
      <bottom/>
      <diagonal/>
    </border>
    <border>
      <left/>
      <right style="dotted">
        <color indexed="8"/>
      </right>
      <top/>
      <bottom/>
      <diagonal/>
    </border>
    <border>
      <left style="dotted">
        <color indexed="8"/>
      </left>
      <right style="dotted">
        <color indexed="8"/>
      </right>
      <top/>
      <bottom/>
      <diagonal/>
    </border>
    <border>
      <left style="dotted">
        <color indexed="8"/>
      </left>
      <right/>
      <top/>
      <bottom/>
      <diagonal/>
    </border>
    <border>
      <left style="thick">
        <color indexed="60"/>
      </left>
      <right/>
      <top style="thick">
        <color indexed="60"/>
      </top>
      <bottom/>
      <diagonal/>
    </border>
    <border>
      <left style="dashed">
        <color indexed="8"/>
      </left>
      <right style="dashed">
        <color indexed="8"/>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style="dashed">
        <color indexed="8"/>
      </left>
      <right style="dashed">
        <color indexed="8"/>
      </right>
      <top/>
      <bottom style="thick">
        <color indexed="60"/>
      </bottom>
      <diagonal/>
    </border>
    <border>
      <left/>
      <right style="thick">
        <color indexed="60"/>
      </right>
      <top/>
      <bottom style="thick">
        <color indexed="60"/>
      </bottom>
      <diagonal/>
    </border>
    <border>
      <left style="medium">
        <color indexed="8"/>
      </left>
      <right/>
      <top/>
      <bottom style="medium">
        <color indexed="8"/>
      </bottom>
      <diagonal/>
    </border>
    <border>
      <left/>
      <right/>
      <top/>
      <bottom style="medium">
        <color indexed="8"/>
      </bottom>
      <diagonal/>
    </border>
    <border>
      <left/>
      <right style="dotted">
        <color indexed="8"/>
      </right>
      <top/>
      <bottom style="medium">
        <color indexed="8"/>
      </bottom>
      <diagonal/>
    </border>
    <border>
      <left style="dotted">
        <color indexed="8"/>
      </left>
      <right style="dotted">
        <color indexed="8"/>
      </right>
      <top/>
      <bottom style="medium">
        <color indexed="8"/>
      </bottom>
      <diagonal/>
    </border>
    <border>
      <left style="dotted">
        <color indexed="8"/>
      </left>
      <right/>
      <top/>
      <bottom style="medium">
        <color indexed="8"/>
      </bottom>
      <diagonal/>
    </border>
    <border>
      <left/>
      <right style="medium">
        <color indexed="8"/>
      </right>
      <top/>
      <bottom style="medium">
        <color indexed="8"/>
      </bottom>
      <diagonal/>
    </border>
    <border>
      <left/>
      <right/>
      <top style="dashed">
        <color indexed="8"/>
      </top>
      <bottom style="dashed">
        <color indexed="8"/>
      </bottom>
      <diagonal/>
    </border>
    <border>
      <left style="thick">
        <color indexed="60"/>
      </left>
      <right style="thick">
        <color indexed="60"/>
      </right>
      <top style="thick">
        <color indexed="60"/>
      </top>
      <bottom style="dashed">
        <color indexed="8"/>
      </bottom>
      <diagonal/>
    </border>
    <border>
      <left style="thick">
        <color indexed="60"/>
      </left>
      <right style="thick">
        <color indexed="60"/>
      </right>
      <top/>
      <bottom/>
      <diagonal/>
    </border>
    <border>
      <left style="thick">
        <color indexed="60"/>
      </left>
      <right style="thick">
        <color indexed="60"/>
      </right>
      <top style="dashed">
        <color indexed="8"/>
      </top>
      <bottom style="dashed">
        <color indexed="8"/>
      </bottom>
      <diagonal/>
    </border>
    <border>
      <left/>
      <right/>
      <top style="dashed">
        <color indexed="8"/>
      </top>
      <bottom style="medium">
        <color indexed="8"/>
      </bottom>
      <diagonal/>
    </border>
    <border>
      <left style="thick">
        <color indexed="60"/>
      </left>
      <right style="thick">
        <color indexed="60"/>
      </right>
      <top/>
      <bottom style="medium">
        <color indexed="8"/>
      </bottom>
      <diagonal/>
    </border>
    <border>
      <left style="thick">
        <color indexed="60"/>
      </left>
      <right style="thick">
        <color indexed="60"/>
      </right>
      <top style="dashed">
        <color indexed="8"/>
      </top>
      <bottom/>
      <diagonal/>
    </border>
    <border>
      <left style="thick">
        <color indexed="60"/>
      </left>
      <right/>
      <top/>
      <bottom style="dashed">
        <color indexed="8"/>
      </bottom>
      <diagonal/>
    </border>
    <border>
      <left/>
      <right style="thick">
        <color indexed="60"/>
      </right>
      <top/>
      <bottom style="dashed">
        <color indexed="8"/>
      </bottom>
      <diagonal/>
    </border>
    <border>
      <left style="thick">
        <color indexed="60"/>
      </left>
      <right/>
      <top style="dashed">
        <color indexed="8"/>
      </top>
      <bottom style="dashed">
        <color indexed="8"/>
      </bottom>
      <diagonal/>
    </border>
    <border>
      <left/>
      <right style="thick">
        <color indexed="60"/>
      </right>
      <top style="dashed">
        <color indexed="8"/>
      </top>
      <bottom style="dashed">
        <color indexed="8"/>
      </bottom>
      <diagonal/>
    </border>
    <border>
      <left style="thick">
        <color indexed="60"/>
      </left>
      <right/>
      <top style="dashed">
        <color indexed="8"/>
      </top>
      <bottom style="thick">
        <color indexed="60"/>
      </bottom>
      <diagonal/>
    </border>
    <border>
      <left/>
      <right style="thick">
        <color indexed="60"/>
      </right>
      <top style="dashed">
        <color indexed="8"/>
      </top>
      <bottom/>
      <diagonal/>
    </border>
    <border>
      <left style="thick">
        <color indexed="60"/>
      </left>
      <right style="thick">
        <color indexed="60"/>
      </right>
      <top/>
      <bottom style="dashed">
        <color indexed="8"/>
      </bottom>
      <diagonal/>
    </border>
    <border>
      <left style="thick">
        <color indexed="60"/>
      </left>
      <right style="thick">
        <color indexed="60"/>
      </right>
      <top/>
      <bottom style="thick">
        <color indexed="60"/>
      </bottom>
      <diagonal/>
    </border>
    <border>
      <left style="thick">
        <color indexed="60"/>
      </left>
      <right style="thick">
        <color indexed="60"/>
      </right>
      <top style="thick">
        <color indexed="60"/>
      </top>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bottom style="thick">
        <color indexed="50"/>
      </bottom>
      <diagonal/>
    </border>
    <border>
      <left/>
      <right/>
      <top/>
      <bottom style="dashed">
        <color indexed="50"/>
      </bottom>
      <diagonal/>
    </border>
    <border>
      <left/>
      <right/>
      <top style="dashed">
        <color indexed="50"/>
      </top>
      <bottom style="dashed">
        <color indexed="50"/>
      </bottom>
      <diagonal/>
    </border>
    <border>
      <left/>
      <right/>
      <top style="dashed">
        <color indexed="50"/>
      </top>
      <bottom/>
      <diagonal/>
    </border>
    <border>
      <left style="medium">
        <color indexed="8"/>
      </left>
      <right/>
      <top style="dashed">
        <color indexed="8"/>
      </top>
      <bottom style="dashed">
        <color indexed="8"/>
      </bottom>
      <diagonal/>
    </border>
    <border>
      <left/>
      <right style="medium">
        <color indexed="8"/>
      </right>
      <top style="dashed">
        <color indexed="8"/>
      </top>
      <bottom style="dashed">
        <color indexed="8"/>
      </bottom>
      <diagonal/>
    </border>
    <border>
      <left style="medium">
        <color indexed="8"/>
      </left>
      <right/>
      <top style="medium">
        <color indexed="8"/>
      </top>
      <bottom style="dotted">
        <color indexed="8"/>
      </bottom>
      <diagonal/>
    </border>
    <border>
      <left/>
      <right/>
      <top style="medium">
        <color indexed="8"/>
      </top>
      <bottom style="dotted">
        <color indexed="8"/>
      </bottom>
      <diagonal/>
    </border>
    <border>
      <left/>
      <right style="medium">
        <color indexed="8"/>
      </right>
      <top style="medium">
        <color indexed="8"/>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top style="dotted">
        <color indexed="8"/>
      </top>
      <bottom style="dotted">
        <color indexed="8"/>
      </bottom>
      <diagonal/>
    </border>
    <border>
      <left/>
      <right style="medium">
        <color indexed="8"/>
      </right>
      <top style="dotted">
        <color indexed="8"/>
      </top>
      <bottom/>
      <diagonal/>
    </border>
    <border>
      <left style="medium">
        <color indexed="8"/>
      </left>
      <right/>
      <top style="dotted">
        <color indexed="8"/>
      </top>
      <bottom/>
      <diagonal/>
    </border>
    <border>
      <left/>
      <right/>
      <top style="dotted">
        <color indexed="8"/>
      </top>
      <bottom/>
      <diagonal/>
    </border>
    <border>
      <left/>
      <right style="medium">
        <color indexed="8"/>
      </right>
      <top style="dashed">
        <color indexed="8"/>
      </top>
      <bottom style="dotted">
        <color indexed="8"/>
      </bottom>
      <diagonal/>
    </border>
    <border>
      <left style="medium">
        <color indexed="8"/>
      </left>
      <right/>
      <top/>
      <bottom style="dotted">
        <color indexed="8"/>
      </bottom>
      <diagonal/>
    </border>
    <border>
      <left/>
      <right style="medium">
        <color indexed="8"/>
      </right>
      <top/>
      <bottom style="dotted">
        <color indexed="8"/>
      </bottom>
      <diagonal/>
    </border>
    <border>
      <left/>
      <right/>
      <top/>
      <bottom style="dotted">
        <color indexed="8"/>
      </bottom>
      <diagonal/>
    </border>
    <border>
      <left style="medium">
        <color indexed="8"/>
      </left>
      <right/>
      <top style="dashed">
        <color indexed="8"/>
      </top>
      <bottom style="medium">
        <color indexed="8"/>
      </bottom>
      <diagonal/>
    </border>
    <border>
      <left/>
      <right style="medium">
        <color indexed="8"/>
      </right>
      <top style="dashed">
        <color indexed="8"/>
      </top>
      <bottom style="medium">
        <color indexed="8"/>
      </bottom>
      <diagonal/>
    </border>
    <border>
      <left style="medium">
        <color indexed="8"/>
      </left>
      <right/>
      <top style="dotted">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ck">
        <color indexed="60"/>
      </left>
      <right/>
      <top style="thick">
        <color indexed="60"/>
      </top>
      <bottom style="thick">
        <color indexed="60"/>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55"/>
      </top>
      <bottom style="thin">
        <color indexed="50"/>
      </bottom>
      <diagonal/>
    </border>
    <border>
      <left/>
      <right/>
      <top style="medium">
        <color indexed="8"/>
      </top>
      <bottom style="medium">
        <color indexed="8"/>
      </bottom>
      <diagonal/>
    </border>
    <border>
      <left/>
      <right style="dotted">
        <color indexed="8"/>
      </right>
      <top style="medium">
        <color indexed="8"/>
      </top>
      <bottom/>
      <diagonal/>
    </border>
    <border>
      <left style="dotted">
        <color indexed="8"/>
      </left>
      <right style="dotted">
        <color indexed="8"/>
      </right>
      <top style="medium">
        <color indexed="8"/>
      </top>
      <bottom/>
      <diagonal/>
    </border>
    <border>
      <left style="dotted">
        <color indexed="8"/>
      </left>
      <right/>
      <top style="medium">
        <color indexed="8"/>
      </top>
      <bottom/>
      <diagonal/>
    </border>
    <border>
      <left/>
      <right/>
      <top style="medium">
        <color indexed="8"/>
      </top>
      <bottom style="dashed">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medium">
        <color indexed="8"/>
      </top>
      <bottom style="dashed">
        <color indexed="8"/>
      </bottom>
      <diagonal/>
    </border>
    <border>
      <left style="thin">
        <color indexed="8"/>
      </left>
      <right/>
      <top style="medium">
        <color indexed="8"/>
      </top>
      <bottom/>
      <diagonal/>
    </border>
    <border>
      <left style="thin">
        <color indexed="8"/>
      </left>
      <right/>
      <top style="thin">
        <color indexed="8"/>
      </top>
      <bottom/>
      <diagonal/>
    </border>
    <border>
      <left style="thin">
        <color rgb="FF99CC00"/>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166" fontId="84" fillId="0" borderId="0" applyFill="0" applyBorder="0" applyAlignment="0" applyProtection="0"/>
    <xf numFmtId="0" fontId="84" fillId="0" borderId="0"/>
    <xf numFmtId="0" fontId="11" fillId="8" borderId="1" applyNumberFormat="0" applyAlignment="0" applyProtection="0"/>
    <xf numFmtId="164" fontId="84" fillId="0" borderId="0" applyFill="0" applyBorder="0" applyAlignment="0" applyProtection="0"/>
    <xf numFmtId="0" fontId="85" fillId="0" borderId="0"/>
    <xf numFmtId="0" fontId="84" fillId="0" borderId="0" applyNumberFormat="0" applyFill="0" applyBorder="0" applyAlignment="0" applyProtection="0"/>
    <xf numFmtId="0" fontId="84" fillId="0" borderId="0" applyNumberFormat="0" applyFill="0" applyBorder="0" applyAlignment="0" applyProtection="0"/>
    <xf numFmtId="0" fontId="4" fillId="0" borderId="0" applyNumberFormat="0" applyFill="0" applyBorder="0" applyAlignment="0" applyProtection="0"/>
  </cellStyleXfs>
  <cellXfs count="568">
    <xf numFmtId="0" fontId="0" fillId="0" borderId="0" xfId="0"/>
    <xf numFmtId="0" fontId="12" fillId="0" borderId="0" xfId="0" applyFont="1" applyAlignment="1">
      <alignment vertical="center"/>
    </xf>
    <xf numFmtId="0" fontId="12" fillId="9" borderId="0" xfId="0" applyFont="1" applyFill="1" applyAlignment="1">
      <alignment vertical="center"/>
    </xf>
    <xf numFmtId="0" fontId="14" fillId="9" borderId="0" xfId="0" applyFont="1" applyFill="1" applyAlignment="1">
      <alignment horizontal="left" vertical="center"/>
    </xf>
    <xf numFmtId="0" fontId="16" fillId="9" borderId="0" xfId="0" applyFont="1" applyFill="1" applyAlignment="1">
      <alignment vertical="top" wrapText="1"/>
    </xf>
    <xf numFmtId="0" fontId="16" fillId="9" borderId="0" xfId="0" applyFont="1" applyFill="1" applyAlignment="1">
      <alignment vertical="center" wrapText="1"/>
    </xf>
    <xf numFmtId="0" fontId="20" fillId="9" borderId="0" xfId="0" applyFont="1" applyFill="1" applyAlignment="1">
      <alignment horizontal="left" vertical="center" wrapText="1"/>
    </xf>
    <xf numFmtId="0" fontId="16" fillId="9" borderId="0" xfId="0" applyFont="1" applyFill="1" applyAlignment="1">
      <alignment horizontal="left" vertical="center" wrapText="1"/>
    </xf>
    <xf numFmtId="0" fontId="16" fillId="9" borderId="0" xfId="0" applyFont="1" applyFill="1" applyAlignment="1">
      <alignment horizontal="left" vertical="center"/>
    </xf>
    <xf numFmtId="0" fontId="12" fillId="0" borderId="0" xfId="0" applyFont="1" applyAlignment="1">
      <alignment horizontal="left" vertical="center"/>
    </xf>
    <xf numFmtId="0" fontId="12" fillId="9" borderId="0" xfId="0" applyFont="1" applyFill="1" applyAlignment="1">
      <alignment horizontal="center" vertical="center"/>
    </xf>
    <xf numFmtId="0" fontId="12" fillId="9" borderId="0" xfId="0" applyFont="1" applyFill="1" applyAlignment="1">
      <alignment horizontal="left" vertical="center"/>
    </xf>
    <xf numFmtId="0" fontId="23" fillId="9" borderId="0" xfId="0" applyFont="1" applyFill="1" applyAlignment="1">
      <alignment horizontal="left" vertical="center"/>
    </xf>
    <xf numFmtId="0" fontId="14" fillId="9" borderId="2" xfId="0" applyFont="1" applyFill="1" applyBorder="1" applyAlignment="1">
      <alignment horizontal="left" vertical="center" indent="1"/>
    </xf>
    <xf numFmtId="0" fontId="21" fillId="9" borderId="3" xfId="0" applyFont="1" applyFill="1" applyBorder="1" applyAlignment="1" applyProtection="1">
      <alignment horizontal="left" vertical="center" indent="1"/>
      <protection locked="0"/>
    </xf>
    <xf numFmtId="0" fontId="16" fillId="9" borderId="2" xfId="0" applyFont="1" applyFill="1" applyBorder="1" applyAlignment="1">
      <alignment horizontal="left" vertical="center" indent="1"/>
    </xf>
    <xf numFmtId="0" fontId="12" fillId="9" borderId="0" xfId="0" applyFont="1" applyFill="1" applyAlignment="1">
      <alignment horizontal="left" vertical="center" indent="1"/>
    </xf>
    <xf numFmtId="0" fontId="24" fillId="9" borderId="0" xfId="0" applyFont="1" applyFill="1" applyAlignment="1">
      <alignment horizontal="left" vertical="center" indent="1"/>
    </xf>
    <xf numFmtId="0" fontId="25" fillId="9" borderId="0" xfId="0" applyFont="1" applyFill="1" applyAlignment="1">
      <alignment horizontal="left" vertical="center" indent="1"/>
    </xf>
    <xf numFmtId="0" fontId="21" fillId="9" borderId="0" xfId="0" applyFont="1" applyFill="1" applyAlignment="1">
      <alignment horizontal="left" vertical="center" indent="1"/>
    </xf>
    <xf numFmtId="0" fontId="14" fillId="9" borderId="2" xfId="0" applyFont="1" applyFill="1" applyBorder="1" applyAlignment="1">
      <alignment horizontal="left" vertical="center" wrapText="1" indent="1"/>
    </xf>
    <xf numFmtId="0" fontId="25" fillId="9" borderId="0" xfId="0" applyFont="1" applyFill="1" applyAlignment="1">
      <alignment vertical="center"/>
    </xf>
    <xf numFmtId="0" fontId="21" fillId="9" borderId="0" xfId="0" applyFont="1" applyFill="1" applyAlignment="1">
      <alignment horizontal="left" vertical="center"/>
    </xf>
    <xf numFmtId="0" fontId="16" fillId="9" borderId="2" xfId="0" applyFont="1" applyFill="1" applyBorder="1" applyAlignment="1">
      <alignment horizontal="left" vertical="center" wrapText="1" indent="1"/>
    </xf>
    <xf numFmtId="0" fontId="21" fillId="9" borderId="3" xfId="0" applyFont="1" applyFill="1" applyBorder="1" applyAlignment="1">
      <alignment horizontal="left" vertical="center" indent="1"/>
    </xf>
    <xf numFmtId="3" fontId="21" fillId="9" borderId="3" xfId="0" applyNumberFormat="1" applyFont="1" applyFill="1" applyBorder="1" applyAlignment="1" applyProtection="1">
      <alignment horizontal="left" vertical="center" indent="1"/>
      <protection locked="0"/>
    </xf>
    <xf numFmtId="0" fontId="26" fillId="0" borderId="0" xfId="0" applyFont="1" applyAlignment="1">
      <alignment vertical="center"/>
    </xf>
    <xf numFmtId="3" fontId="21" fillId="9" borderId="3" xfId="0" applyNumberFormat="1" applyFont="1" applyFill="1" applyBorder="1" applyAlignment="1">
      <alignment horizontal="left" vertical="center" indent="1"/>
    </xf>
    <xf numFmtId="3" fontId="12" fillId="9" borderId="3" xfId="0" applyNumberFormat="1" applyFont="1" applyFill="1" applyBorder="1" applyAlignment="1" applyProtection="1">
      <alignment horizontal="left" vertical="center" indent="1"/>
      <protection locked="0"/>
    </xf>
    <xf numFmtId="3" fontId="16" fillId="9" borderId="2" xfId="0" applyNumberFormat="1" applyFont="1" applyFill="1" applyBorder="1" applyAlignment="1">
      <alignment horizontal="left" vertical="center" indent="1"/>
    </xf>
    <xf numFmtId="164" fontId="21" fillId="9" borderId="3" xfId="0" applyNumberFormat="1" applyFont="1" applyFill="1" applyBorder="1" applyAlignment="1" applyProtection="1">
      <alignment horizontal="left" vertical="center" indent="1"/>
      <protection locked="0"/>
    </xf>
    <xf numFmtId="0" fontId="24" fillId="0" borderId="0" xfId="0" applyFont="1" applyAlignment="1">
      <alignment vertical="center"/>
    </xf>
    <xf numFmtId="3" fontId="21" fillId="9" borderId="0" xfId="0" applyNumberFormat="1" applyFont="1" applyFill="1" applyAlignment="1">
      <alignment horizontal="left" vertical="center" indent="1"/>
    </xf>
    <xf numFmtId="0" fontId="16" fillId="9" borderId="0" xfId="0" applyFont="1" applyFill="1" applyAlignment="1">
      <alignment horizontal="left" vertical="center" indent="1"/>
    </xf>
    <xf numFmtId="164" fontId="21" fillId="9" borderId="0" xfId="0" applyNumberFormat="1" applyFont="1" applyFill="1" applyAlignment="1" applyProtection="1">
      <alignment horizontal="left" vertical="center" indent="1"/>
      <protection locked="0"/>
    </xf>
    <xf numFmtId="164" fontId="26" fillId="9" borderId="0" xfId="0" applyNumberFormat="1" applyFont="1" applyFill="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left" vertical="center" inden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20" fillId="0" borderId="0" xfId="0" applyNumberFormat="1" applyFont="1" applyAlignment="1">
      <alignment horizontal="center" vertical="center"/>
    </xf>
    <xf numFmtId="164" fontId="12" fillId="9" borderId="0" xfId="0" applyNumberFormat="1" applyFont="1" applyFill="1" applyAlignment="1">
      <alignment horizontal="center" vertical="center"/>
    </xf>
    <xf numFmtId="1" fontId="12" fillId="9" borderId="0" xfId="0" applyNumberFormat="1" applyFont="1" applyFill="1" applyAlignment="1">
      <alignment horizontal="center" vertical="center"/>
    </xf>
    <xf numFmtId="1" fontId="20" fillId="9" borderId="0" xfId="0" applyNumberFormat="1" applyFont="1" applyFill="1" applyAlignment="1">
      <alignment horizontal="center" vertical="center"/>
    </xf>
    <xf numFmtId="3" fontId="12" fillId="9" borderId="0" xfId="0" applyNumberFormat="1" applyFont="1" applyFill="1" applyAlignment="1">
      <alignment horizontal="center" vertical="center"/>
    </xf>
    <xf numFmtId="0" fontId="13" fillId="9" borderId="0" xfId="0" applyFont="1" applyFill="1" applyAlignment="1">
      <alignment vertical="top"/>
    </xf>
    <xf numFmtId="0" fontId="12" fillId="0" borderId="4" xfId="0" applyFont="1" applyBorder="1" applyAlignment="1">
      <alignment horizontal="center" vertical="center"/>
    </xf>
    <xf numFmtId="0" fontId="12" fillId="10" borderId="0" xfId="0" applyFont="1" applyFill="1" applyAlignment="1">
      <alignment vertical="center"/>
    </xf>
    <xf numFmtId="0" fontId="12" fillId="0" borderId="5" xfId="0" applyFont="1" applyBorder="1" applyAlignment="1">
      <alignment horizontal="center" vertical="center"/>
    </xf>
    <xf numFmtId="0" fontId="22" fillId="11" borderId="6" xfId="0" applyFont="1" applyFill="1" applyBorder="1" applyAlignment="1">
      <alignment horizontal="left" vertical="center" indent="1"/>
    </xf>
    <xf numFmtId="0" fontId="22" fillId="11" borderId="6" xfId="0" applyFont="1" applyFill="1" applyBorder="1" applyAlignment="1">
      <alignment horizontal="center" vertical="center"/>
    </xf>
    <xf numFmtId="164" fontId="22" fillId="11" borderId="6" xfId="0" applyNumberFormat="1" applyFont="1" applyFill="1" applyBorder="1" applyAlignment="1">
      <alignment horizontal="center" vertical="center"/>
    </xf>
    <xf numFmtId="1" fontId="22" fillId="11" borderId="6" xfId="0" applyNumberFormat="1" applyFont="1" applyFill="1" applyBorder="1" applyAlignment="1">
      <alignment horizontal="center" vertical="center"/>
    </xf>
    <xf numFmtId="0" fontId="28" fillId="0" borderId="0" xfId="0" applyFont="1" applyAlignment="1">
      <alignment vertical="center" wrapText="1"/>
    </xf>
    <xf numFmtId="0" fontId="29" fillId="0" borderId="0" xfId="0" applyFont="1" applyAlignment="1">
      <alignment vertical="center" wrapText="1"/>
    </xf>
    <xf numFmtId="0" fontId="22" fillId="12" borderId="3" xfId="0" applyFont="1" applyFill="1" applyBorder="1" applyAlignment="1">
      <alignment horizontal="left" vertical="center" indent="1"/>
    </xf>
    <xf numFmtId="164" fontId="22" fillId="12" borderId="3" xfId="0" applyNumberFormat="1" applyFont="1" applyFill="1" applyBorder="1" applyAlignment="1">
      <alignment horizontal="center" vertical="center"/>
    </xf>
    <xf numFmtId="1" fontId="22" fillId="12" borderId="3" xfId="0" applyNumberFormat="1" applyFont="1" applyFill="1" applyBorder="1" applyAlignment="1">
      <alignment horizontal="center" vertical="center"/>
    </xf>
    <xf numFmtId="164" fontId="30" fillId="0" borderId="0" xfId="16" applyFont="1" applyFill="1" applyBorder="1" applyAlignment="1" applyProtection="1">
      <alignment vertical="center"/>
    </xf>
    <xf numFmtId="0" fontId="14" fillId="12" borderId="3" xfId="0" applyFont="1" applyFill="1" applyBorder="1" applyAlignment="1">
      <alignment horizontal="left" vertical="center" indent="1"/>
    </xf>
    <xf numFmtId="0" fontId="14" fillId="12" borderId="3" xfId="0" applyFont="1" applyFill="1" applyBorder="1" applyAlignment="1">
      <alignment horizontal="left" vertical="center"/>
    </xf>
    <xf numFmtId="165" fontId="14" fillId="12" borderId="7" xfId="0" applyNumberFormat="1" applyFont="1" applyFill="1" applyBorder="1" applyAlignment="1" applyProtection="1">
      <alignment horizontal="center" vertical="center"/>
      <protection locked="0"/>
    </xf>
    <xf numFmtId="164" fontId="31" fillId="12" borderId="7" xfId="0" applyNumberFormat="1" applyFont="1" applyFill="1" applyBorder="1" applyAlignment="1" applyProtection="1">
      <alignment horizontal="center" vertical="center"/>
      <protection locked="0"/>
    </xf>
    <xf numFmtId="0" fontId="15" fillId="12" borderId="3" xfId="0" applyFont="1" applyFill="1" applyBorder="1" applyAlignment="1">
      <alignment horizontal="left" vertical="center"/>
    </xf>
    <xf numFmtId="164" fontId="14" fillId="12" borderId="3" xfId="0" applyNumberFormat="1" applyFont="1" applyFill="1" applyBorder="1" applyAlignment="1">
      <alignment horizontal="center" vertical="center"/>
    </xf>
    <xf numFmtId="1" fontId="14" fillId="12" borderId="3" xfId="0" applyNumberFormat="1" applyFont="1" applyFill="1" applyBorder="1" applyAlignment="1">
      <alignment horizontal="center" vertical="center"/>
    </xf>
    <xf numFmtId="0" fontId="32" fillId="0" borderId="0" xfId="0" applyFont="1" applyAlignment="1">
      <alignment vertical="center"/>
    </xf>
    <xf numFmtId="0" fontId="16" fillId="9" borderId="8" xfId="0" applyFont="1" applyFill="1" applyBorder="1" applyAlignment="1">
      <alignment horizontal="left" vertical="center" wrapText="1" indent="1"/>
    </xf>
    <xf numFmtId="165" fontId="21" fillId="9" borderId="7" xfId="0" applyNumberFormat="1" applyFont="1" applyFill="1" applyBorder="1" applyAlignment="1" applyProtection="1">
      <alignment horizontal="center" vertical="center"/>
      <protection locked="0"/>
    </xf>
    <xf numFmtId="164" fontId="33" fillId="9" borderId="7" xfId="0" applyNumberFormat="1" applyFont="1" applyFill="1" applyBorder="1" applyAlignment="1" applyProtection="1">
      <alignment horizontal="center" vertical="center"/>
      <protection locked="0"/>
    </xf>
    <xf numFmtId="0" fontId="34" fillId="9" borderId="7" xfId="0" applyFont="1" applyFill="1" applyBorder="1" applyAlignment="1" applyProtection="1">
      <alignment horizontal="left" vertical="center" wrapText="1"/>
      <protection locked="0"/>
    </xf>
    <xf numFmtId="0" fontId="33" fillId="9" borderId="7" xfId="0" applyFont="1" applyFill="1" applyBorder="1" applyAlignment="1" applyProtection="1">
      <alignment horizontal="center" vertical="center" wrapText="1"/>
      <protection locked="0"/>
    </xf>
    <xf numFmtId="1" fontId="21" fillId="9" borderId="3" xfId="0" applyNumberFormat="1" applyFont="1" applyFill="1" applyBorder="1" applyAlignment="1" applyProtection="1">
      <alignment horizontal="center" vertical="center"/>
      <protection locked="0"/>
    </xf>
    <xf numFmtId="1" fontId="35" fillId="9" borderId="8" xfId="0" applyNumberFormat="1" applyFont="1" applyFill="1" applyBorder="1" applyAlignment="1">
      <alignment horizontal="center" vertical="center"/>
    </xf>
    <xf numFmtId="0" fontId="36" fillId="12" borderId="3" xfId="0" applyFont="1" applyFill="1" applyBorder="1" applyAlignment="1">
      <alignment horizontal="left" vertical="center"/>
    </xf>
    <xf numFmtId="0" fontId="31" fillId="12" borderId="3" xfId="0" applyFont="1" applyFill="1" applyBorder="1" applyAlignment="1">
      <alignment horizontal="left" vertical="center"/>
    </xf>
    <xf numFmtId="165" fontId="22" fillId="12" borderId="3" xfId="0" applyNumberFormat="1" applyFont="1" applyFill="1" applyBorder="1" applyAlignment="1" applyProtection="1">
      <alignment horizontal="left" vertical="center" indent="1"/>
      <protection locked="0"/>
    </xf>
    <xf numFmtId="0" fontId="37" fillId="12" borderId="3" xfId="0" applyFont="1" applyFill="1" applyBorder="1" applyAlignment="1">
      <alignment horizontal="left" vertical="center" indent="1"/>
    </xf>
    <xf numFmtId="164" fontId="31" fillId="12" borderId="7" xfId="0" applyNumberFormat="1" applyFont="1" applyFill="1" applyBorder="1" applyAlignment="1">
      <alignment horizontal="center" vertical="center"/>
    </xf>
    <xf numFmtId="0" fontId="16" fillId="9" borderId="8" xfId="0" applyFont="1" applyFill="1" applyBorder="1" applyAlignment="1">
      <alignment horizontal="left" vertical="center" indent="1"/>
    </xf>
    <xf numFmtId="164" fontId="33" fillId="9" borderId="7" xfId="0" applyNumberFormat="1" applyFont="1" applyFill="1" applyBorder="1" applyAlignment="1">
      <alignment horizontal="center" vertical="center"/>
    </xf>
    <xf numFmtId="165" fontId="0" fillId="0" borderId="0" xfId="0" applyNumberFormat="1" applyAlignment="1" applyProtection="1">
      <alignment horizontal="left" vertical="center" indent="1"/>
      <protection locked="0"/>
    </xf>
    <xf numFmtId="165" fontId="21" fillId="9" borderId="3" xfId="0" applyNumberFormat="1" applyFont="1" applyFill="1" applyBorder="1" applyAlignment="1" applyProtection="1">
      <alignment horizontal="center" vertical="center"/>
      <protection locked="0"/>
    </xf>
    <xf numFmtId="0" fontId="16" fillId="9" borderId="6" xfId="0" applyFont="1" applyFill="1" applyBorder="1" applyAlignment="1">
      <alignment horizontal="left" vertical="center" wrapText="1" indent="1"/>
    </xf>
    <xf numFmtId="0" fontId="16" fillId="9" borderId="6" xfId="0" applyFont="1" applyFill="1" applyBorder="1" applyAlignment="1">
      <alignment horizontal="left" vertical="center" indent="1"/>
    </xf>
    <xf numFmtId="0" fontId="16" fillId="9" borderId="0" xfId="0" applyFont="1" applyFill="1" applyAlignment="1">
      <alignment horizontal="left" vertical="center" wrapText="1" indent="1"/>
    </xf>
    <xf numFmtId="0" fontId="33" fillId="9" borderId="9" xfId="0" applyFont="1" applyFill="1" applyBorder="1" applyAlignment="1" applyProtection="1">
      <alignment horizontal="center" vertical="center" wrapText="1"/>
      <protection locked="0"/>
    </xf>
    <xf numFmtId="0" fontId="14" fillId="12" borderId="3" xfId="0" applyFont="1" applyFill="1" applyBorder="1" applyAlignment="1">
      <alignment horizontal="left" vertical="center" wrapText="1"/>
    </xf>
    <xf numFmtId="0" fontId="31" fillId="12" borderId="3" xfId="0" applyFont="1" applyFill="1" applyBorder="1" applyAlignment="1">
      <alignment horizontal="center" vertical="center"/>
    </xf>
    <xf numFmtId="0" fontId="36" fillId="12" borderId="3" xfId="0" applyFont="1" applyFill="1" applyBorder="1" applyAlignment="1">
      <alignment horizontal="left" vertical="center" wrapText="1"/>
    </xf>
    <xf numFmtId="0" fontId="31" fillId="12" borderId="3" xfId="0" applyFont="1" applyFill="1" applyBorder="1" applyAlignment="1">
      <alignment horizontal="left" vertical="center" wrapText="1"/>
    </xf>
    <xf numFmtId="165" fontId="12" fillId="0" borderId="0" xfId="0" applyNumberFormat="1" applyFont="1" applyAlignment="1">
      <alignment horizontal="center" vertical="center"/>
    </xf>
    <xf numFmtId="0" fontId="39" fillId="0" borderId="0" xfId="0" applyFont="1" applyAlignment="1">
      <alignment wrapText="1"/>
    </xf>
    <xf numFmtId="0" fontId="39" fillId="0" borderId="0" xfId="0" applyFont="1" applyAlignment="1">
      <alignment horizontal="center" wrapText="1"/>
    </xf>
    <xf numFmtId="0" fontId="39" fillId="9" borderId="0" xfId="0" applyFont="1" applyFill="1" applyAlignment="1">
      <alignment wrapText="1"/>
    </xf>
    <xf numFmtId="0" fontId="39" fillId="9" borderId="0" xfId="0" applyFont="1" applyFill="1" applyAlignment="1">
      <alignment horizontal="center" wrapText="1"/>
    </xf>
    <xf numFmtId="0" fontId="40" fillId="9" borderId="0" xfId="0" applyFont="1" applyFill="1" applyAlignment="1">
      <alignment vertical="center" wrapText="1"/>
    </xf>
    <xf numFmtId="0" fontId="40" fillId="9" borderId="10" xfId="0" applyFont="1" applyFill="1" applyBorder="1" applyAlignment="1">
      <alignment vertical="center" wrapText="1"/>
    </xf>
    <xf numFmtId="0" fontId="40" fillId="9" borderId="11" xfId="0" applyFont="1" applyFill="1" applyBorder="1" applyAlignment="1">
      <alignment vertical="center" wrapText="1"/>
    </xf>
    <xf numFmtId="0" fontId="40" fillId="9" borderId="11" xfId="0" applyFont="1" applyFill="1" applyBorder="1" applyAlignment="1">
      <alignment horizontal="center" vertical="center" wrapText="1"/>
    </xf>
    <xf numFmtId="0" fontId="40" fillId="9" borderId="12" xfId="0" applyFont="1" applyFill="1" applyBorder="1" applyAlignment="1">
      <alignment vertical="center" wrapText="1"/>
    </xf>
    <xf numFmtId="0" fontId="41" fillId="9" borderId="0" xfId="0" applyFont="1" applyFill="1" applyAlignment="1">
      <alignment vertical="center" wrapText="1"/>
    </xf>
    <xf numFmtId="0" fontId="42" fillId="9" borderId="13" xfId="0" applyFont="1" applyFill="1" applyBorder="1" applyAlignment="1">
      <alignment horizontal="right" wrapText="1" indent="1"/>
    </xf>
    <xf numFmtId="0" fontId="42" fillId="9" borderId="0" xfId="0" applyFont="1" applyFill="1" applyAlignment="1">
      <alignment horizontal="right" wrapText="1" indent="1"/>
    </xf>
    <xf numFmtId="0" fontId="39" fillId="9" borderId="14" xfId="0" applyFont="1" applyFill="1" applyBorder="1" applyAlignment="1">
      <alignment wrapText="1"/>
    </xf>
    <xf numFmtId="0" fontId="41" fillId="9" borderId="0" xfId="0" applyFont="1" applyFill="1" applyAlignment="1">
      <alignment horizontal="left" vertical="center" wrapText="1"/>
    </xf>
    <xf numFmtId="0" fontId="41" fillId="9" borderId="13" xfId="0" applyFont="1" applyFill="1" applyBorder="1" applyAlignment="1">
      <alignment horizontal="left" vertical="center" wrapText="1"/>
    </xf>
    <xf numFmtId="3" fontId="46" fillId="13" borderId="0" xfId="0" applyNumberFormat="1" applyFont="1" applyFill="1" applyAlignment="1">
      <alignment horizontal="center" vertical="center" wrapText="1"/>
    </xf>
    <xf numFmtId="3" fontId="49" fillId="14" borderId="15" xfId="0" applyNumberFormat="1" applyFont="1" applyFill="1" applyBorder="1" applyAlignment="1">
      <alignment horizontal="center" vertical="center" wrapText="1"/>
    </xf>
    <xf numFmtId="0" fontId="42" fillId="9" borderId="0" xfId="0" applyFont="1" applyFill="1" applyAlignment="1">
      <alignment horizontal="left" vertical="top" wrapText="1"/>
    </xf>
    <xf numFmtId="0" fontId="42" fillId="9" borderId="13" xfId="0" applyFont="1" applyFill="1" applyBorder="1" applyAlignment="1">
      <alignment horizontal="left" vertical="top" wrapText="1"/>
    </xf>
    <xf numFmtId="3" fontId="50" fillId="13" borderId="0" xfId="0" applyNumberFormat="1" applyFont="1" applyFill="1" applyAlignment="1">
      <alignment horizontal="center" vertical="center" wrapText="1"/>
    </xf>
    <xf numFmtId="3" fontId="51" fillId="13" borderId="0" xfId="0" applyNumberFormat="1" applyFont="1" applyFill="1" applyAlignment="1">
      <alignment vertical="center" wrapText="1"/>
    </xf>
    <xf numFmtId="1" fontId="47" fillId="13" borderId="0" xfId="0" applyNumberFormat="1" applyFont="1" applyFill="1" applyAlignment="1">
      <alignment horizontal="center" vertical="center" wrapText="1"/>
    </xf>
    <xf numFmtId="0" fontId="42" fillId="9" borderId="10" xfId="0" applyFont="1" applyFill="1" applyBorder="1" applyAlignment="1">
      <alignment horizontal="left" vertical="top" wrapText="1"/>
    </xf>
    <xf numFmtId="0" fontId="42" fillId="9" borderId="11" xfId="0" applyFont="1" applyFill="1" applyBorder="1" applyAlignment="1">
      <alignment horizontal="left" vertical="top" wrapText="1"/>
    </xf>
    <xf numFmtId="0" fontId="49" fillId="12" borderId="11" xfId="0" applyFont="1" applyFill="1" applyBorder="1" applyAlignment="1">
      <alignment vertical="center" wrapText="1"/>
    </xf>
    <xf numFmtId="3" fontId="47" fillId="9" borderId="16" xfId="0" applyNumberFormat="1" applyFont="1" applyFill="1" applyBorder="1" applyAlignment="1">
      <alignment horizontal="right" vertical="center" wrapText="1"/>
    </xf>
    <xf numFmtId="0" fontId="39" fillId="9" borderId="12" xfId="0" applyFont="1" applyFill="1" applyBorder="1" applyAlignment="1">
      <alignment wrapText="1"/>
    </xf>
    <xf numFmtId="0" fontId="39" fillId="0" borderId="13" xfId="0" applyFont="1" applyBorder="1" applyAlignment="1">
      <alignment wrapText="1"/>
    </xf>
    <xf numFmtId="0" fontId="49" fillId="12" borderId="0" xfId="0" applyFont="1" applyFill="1" applyAlignment="1">
      <alignment vertical="center" wrapText="1"/>
    </xf>
    <xf numFmtId="0" fontId="49" fillId="14" borderId="0" xfId="0" applyFont="1" applyFill="1" applyAlignment="1">
      <alignment vertical="center" wrapText="1"/>
    </xf>
    <xf numFmtId="0" fontId="49" fillId="14" borderId="18" xfId="0" applyFont="1" applyFill="1" applyBorder="1" applyAlignment="1">
      <alignment vertical="center" wrapText="1"/>
    </xf>
    <xf numFmtId="0" fontId="41" fillId="12" borderId="19" xfId="0" applyFont="1" applyFill="1" applyBorder="1" applyAlignment="1">
      <alignment horizontal="center" vertical="center" wrapText="1"/>
    </xf>
    <xf numFmtId="0" fontId="41" fillId="12" borderId="20" xfId="0" applyFont="1" applyFill="1" applyBorder="1" applyAlignment="1">
      <alignment horizontal="center" vertical="center" wrapText="1"/>
    </xf>
    <xf numFmtId="0" fontId="41" fillId="12" borderId="21" xfId="0" applyFont="1" applyFill="1" applyBorder="1" applyAlignment="1">
      <alignment horizontal="center" vertical="center" wrapText="1"/>
    </xf>
    <xf numFmtId="3" fontId="47" fillId="9" borderId="22" xfId="0" applyNumberFormat="1" applyFont="1" applyFill="1" applyBorder="1" applyAlignment="1">
      <alignment horizontal="left" vertical="center" wrapText="1"/>
    </xf>
    <xf numFmtId="3" fontId="47" fillId="9" borderId="23" xfId="0" applyNumberFormat="1" applyFont="1" applyFill="1" applyBorder="1" applyAlignment="1">
      <alignment horizontal="left" vertical="center" wrapText="1"/>
    </xf>
    <xf numFmtId="167" fontId="47" fillId="9" borderId="24" xfId="13" applyNumberFormat="1" applyFont="1" applyFill="1" applyBorder="1" applyAlignment="1" applyProtection="1">
      <alignment horizontal="left" vertical="center" wrapText="1"/>
    </xf>
    <xf numFmtId="0" fontId="49" fillId="12" borderId="19" xfId="0" applyFont="1" applyFill="1" applyBorder="1" applyAlignment="1">
      <alignment horizontal="center" vertical="center" wrapText="1"/>
    </xf>
    <xf numFmtId="0" fontId="49" fillId="12" borderId="20" xfId="0" applyFont="1" applyFill="1" applyBorder="1" applyAlignment="1">
      <alignment horizontal="center" vertical="center" wrapText="1"/>
    </xf>
    <xf numFmtId="0" fontId="49" fillId="12" borderId="21"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49" fillId="9" borderId="0" xfId="0" applyFont="1" applyFill="1" applyAlignment="1">
      <alignment horizontal="left" vertical="center" wrapText="1"/>
    </xf>
    <xf numFmtId="3" fontId="47" fillId="9" borderId="25" xfId="0" applyNumberFormat="1" applyFont="1" applyFill="1" applyBorder="1" applyAlignment="1">
      <alignment horizontal="left" vertical="center" wrapText="1"/>
    </xf>
    <xf numFmtId="0" fontId="47" fillId="9" borderId="18" xfId="0" applyFont="1" applyFill="1" applyBorder="1" applyAlignment="1">
      <alignment horizontal="left" vertical="center" wrapText="1"/>
    </xf>
    <xf numFmtId="167" fontId="47" fillId="9" borderId="26" xfId="13" applyNumberFormat="1" applyFont="1" applyFill="1" applyBorder="1" applyAlignment="1" applyProtection="1">
      <alignment horizontal="left" vertical="center" wrapText="1"/>
    </xf>
    <xf numFmtId="165" fontId="38" fillId="13" borderId="19" xfId="13" applyNumberFormat="1" applyFont="1" applyFill="1" applyBorder="1" applyAlignment="1" applyProtection="1">
      <alignment horizontal="center" vertical="center" wrapText="1"/>
    </xf>
    <xf numFmtId="165" fontId="38" fillId="13" borderId="20" xfId="13" applyNumberFormat="1" applyFont="1" applyFill="1" applyBorder="1" applyAlignment="1" applyProtection="1">
      <alignment horizontal="center" vertical="center" wrapText="1"/>
    </xf>
    <xf numFmtId="165" fontId="39" fillId="13" borderId="20" xfId="0" applyNumberFormat="1" applyFont="1" applyFill="1" applyBorder="1" applyAlignment="1">
      <alignment horizontal="center" vertical="center" wrapText="1"/>
    </xf>
    <xf numFmtId="165" fontId="39" fillId="13" borderId="21" xfId="0" applyNumberFormat="1" applyFont="1" applyFill="1" applyBorder="1" applyAlignment="1">
      <alignment horizontal="center" vertical="center" wrapText="1"/>
    </xf>
    <xf numFmtId="1" fontId="54" fillId="9" borderId="14" xfId="0" applyNumberFormat="1" applyFont="1" applyFill="1" applyBorder="1" applyAlignment="1">
      <alignment wrapText="1"/>
    </xf>
    <xf numFmtId="0" fontId="47" fillId="9" borderId="25" xfId="0" applyFont="1" applyFill="1" applyBorder="1" applyAlignment="1">
      <alignment horizontal="left" vertical="center" wrapText="1"/>
    </xf>
    <xf numFmtId="1" fontId="39" fillId="13" borderId="19" xfId="0" applyNumberFormat="1" applyFont="1" applyFill="1" applyBorder="1" applyAlignment="1">
      <alignment horizontal="center" vertical="center" wrapText="1"/>
    </xf>
    <xf numFmtId="1" fontId="39" fillId="13" borderId="20" xfId="0" applyNumberFormat="1" applyFont="1" applyFill="1" applyBorder="1" applyAlignment="1">
      <alignment horizontal="center" vertical="center" wrapText="1"/>
    </xf>
    <xf numFmtId="1" fontId="39" fillId="13" borderId="21" xfId="0" applyNumberFormat="1" applyFont="1" applyFill="1" applyBorder="1" applyAlignment="1">
      <alignment horizontal="center" vertical="center" wrapText="1"/>
    </xf>
    <xf numFmtId="0" fontId="55" fillId="12" borderId="19" xfId="0" applyFont="1" applyFill="1" applyBorder="1" applyAlignment="1">
      <alignment horizontal="center" vertical="center" wrapText="1"/>
    </xf>
    <xf numFmtId="0" fontId="55" fillId="12" borderId="20" xfId="0" applyFont="1" applyFill="1" applyBorder="1" applyAlignment="1">
      <alignment horizontal="center" vertical="center" wrapText="1"/>
    </xf>
    <xf numFmtId="0" fontId="55" fillId="12" borderId="21" xfId="0" applyFont="1" applyFill="1" applyBorder="1" applyAlignment="1">
      <alignment horizontal="center" vertical="center" wrapText="1"/>
    </xf>
    <xf numFmtId="0" fontId="47" fillId="9" borderId="27" xfId="0" applyFont="1" applyFill="1" applyBorder="1" applyAlignment="1">
      <alignment horizontal="left" vertical="center" wrapText="1"/>
    </xf>
    <xf numFmtId="0" fontId="47" fillId="9" borderId="28" xfId="0" applyFont="1" applyFill="1" applyBorder="1" applyAlignment="1">
      <alignment horizontal="left" vertical="center" wrapText="1"/>
    </xf>
    <xf numFmtId="167" fontId="47" fillId="9" borderId="29" xfId="13" applyNumberFormat="1" applyFont="1" applyFill="1" applyBorder="1" applyAlignment="1" applyProtection="1">
      <alignment horizontal="left" vertical="center" wrapText="1"/>
    </xf>
    <xf numFmtId="3" fontId="46" fillId="9" borderId="0" xfId="0" applyNumberFormat="1" applyFont="1" applyFill="1" applyAlignment="1">
      <alignment horizontal="center" vertical="center" wrapText="1"/>
    </xf>
    <xf numFmtId="167" fontId="46" fillId="9" borderId="30" xfId="13" applyNumberFormat="1" applyFont="1" applyFill="1" applyBorder="1" applyAlignment="1" applyProtection="1">
      <alignment horizontal="center" vertical="center" wrapText="1"/>
    </xf>
    <xf numFmtId="167" fontId="46" fillId="9" borderId="31" xfId="13" applyNumberFormat="1" applyFont="1" applyFill="1" applyBorder="1" applyAlignment="1" applyProtection="1">
      <alignment horizontal="center" vertical="center" wrapText="1"/>
    </xf>
    <xf numFmtId="0" fontId="49" fillId="12" borderId="31" xfId="0" applyFont="1" applyFill="1" applyBorder="1" applyAlignment="1">
      <alignment vertical="center" wrapText="1"/>
    </xf>
    <xf numFmtId="0" fontId="41" fillId="12" borderId="31" xfId="0" applyFont="1" applyFill="1" applyBorder="1" applyAlignment="1">
      <alignment vertical="center" wrapText="1"/>
    </xf>
    <xf numFmtId="0" fontId="49" fillId="12" borderId="32" xfId="0" applyFont="1" applyFill="1" applyBorder="1" applyAlignment="1">
      <alignment horizontal="center" vertical="center" wrapText="1"/>
    </xf>
    <xf numFmtId="0" fontId="49" fillId="12" borderId="33" xfId="0" applyFont="1" applyFill="1" applyBorder="1" applyAlignment="1">
      <alignment horizontal="center" vertical="center" wrapText="1"/>
    </xf>
    <xf numFmtId="0" fontId="49" fillId="12" borderId="34" xfId="0" applyFont="1" applyFill="1" applyBorder="1" applyAlignment="1">
      <alignment horizontal="center" vertical="center" wrapText="1"/>
    </xf>
    <xf numFmtId="1" fontId="54" fillId="9" borderId="35" xfId="0" applyNumberFormat="1" applyFont="1" applyFill="1" applyBorder="1" applyAlignment="1">
      <alignment wrapText="1"/>
    </xf>
    <xf numFmtId="167" fontId="47" fillId="9" borderId="16" xfId="13" applyNumberFormat="1" applyFont="1" applyFill="1" applyBorder="1" applyAlignment="1" applyProtection="1">
      <alignment horizontal="left" vertical="center" wrapText="1"/>
    </xf>
    <xf numFmtId="166" fontId="84" fillId="12" borderId="0" xfId="13" applyFill="1" applyBorder="1" applyAlignment="1" applyProtection="1">
      <alignment vertical="center" wrapText="1"/>
    </xf>
    <xf numFmtId="167" fontId="47" fillId="9" borderId="37" xfId="13" applyNumberFormat="1" applyFont="1" applyFill="1" applyBorder="1" applyAlignment="1" applyProtection="1">
      <alignment horizontal="left" vertical="center" wrapText="1"/>
    </xf>
    <xf numFmtId="0" fontId="41" fillId="9" borderId="13" xfId="0" applyFont="1" applyFill="1" applyBorder="1" applyAlignment="1">
      <alignment vertical="center" wrapText="1"/>
    </xf>
    <xf numFmtId="168" fontId="84" fillId="12" borderId="0" xfId="13" applyNumberFormat="1" applyFill="1" applyBorder="1" applyAlignment="1" applyProtection="1">
      <alignment horizontal="center" vertical="center" wrapText="1"/>
    </xf>
    <xf numFmtId="0" fontId="41" fillId="12" borderId="36" xfId="0" applyFont="1" applyFill="1" applyBorder="1" applyAlignment="1">
      <alignment vertical="center" wrapText="1"/>
    </xf>
    <xf numFmtId="3" fontId="47" fillId="9" borderId="38" xfId="0" applyNumberFormat="1" applyFont="1" applyFill="1" applyBorder="1" applyAlignment="1">
      <alignment vertical="center" wrapText="1"/>
    </xf>
    <xf numFmtId="169" fontId="38" fillId="13" borderId="19" xfId="13" applyNumberFormat="1" applyFont="1" applyFill="1" applyBorder="1" applyAlignment="1" applyProtection="1">
      <alignment horizontal="center" vertical="center" wrapText="1"/>
    </xf>
    <xf numFmtId="169" fontId="38" fillId="13" borderId="20" xfId="13" applyNumberFormat="1" applyFont="1" applyFill="1" applyBorder="1" applyAlignment="1" applyProtection="1">
      <alignment horizontal="center" vertical="center" wrapText="1"/>
    </xf>
    <xf numFmtId="169" fontId="38" fillId="13" borderId="21" xfId="13" applyNumberFormat="1" applyFont="1" applyFill="1" applyBorder="1" applyAlignment="1" applyProtection="1">
      <alignment horizontal="center" vertical="center" wrapText="1"/>
    </xf>
    <xf numFmtId="1" fontId="42" fillId="9" borderId="14" xfId="0" applyNumberFormat="1" applyFont="1" applyFill="1" applyBorder="1" applyAlignment="1">
      <alignment wrapText="1"/>
    </xf>
    <xf numFmtId="165" fontId="84" fillId="12" borderId="0" xfId="13" applyNumberFormat="1" applyFill="1" applyBorder="1" applyAlignment="1" applyProtection="1">
      <alignment horizontal="center" vertical="center" wrapText="1"/>
    </xf>
    <xf numFmtId="167" fontId="47" fillId="9" borderId="39" xfId="13" applyNumberFormat="1" applyFont="1" applyFill="1" applyBorder="1" applyAlignment="1" applyProtection="1">
      <alignment horizontal="left" vertical="center" wrapText="1"/>
    </xf>
    <xf numFmtId="0" fontId="46" fillId="9" borderId="0" xfId="0" applyFont="1" applyFill="1" applyAlignment="1">
      <alignment horizontal="center" vertical="center" wrapText="1"/>
    </xf>
    <xf numFmtId="0" fontId="39" fillId="0" borderId="30" xfId="0" applyFont="1" applyBorder="1" applyAlignment="1">
      <alignment wrapText="1"/>
    </xf>
    <xf numFmtId="0" fontId="39" fillId="0" borderId="31" xfId="0" applyFont="1" applyBorder="1" applyAlignment="1">
      <alignment wrapText="1"/>
    </xf>
    <xf numFmtId="0" fontId="49" fillId="14" borderId="40" xfId="0" applyFont="1" applyFill="1" applyBorder="1" applyAlignment="1">
      <alignment horizontal="right" vertical="center" wrapText="1"/>
    </xf>
    <xf numFmtId="167" fontId="47" fillId="9" borderId="41" xfId="13" applyNumberFormat="1" applyFont="1" applyFill="1" applyBorder="1" applyAlignment="1" applyProtection="1">
      <alignment horizontal="left" vertical="center" wrapText="1"/>
    </xf>
    <xf numFmtId="0" fontId="55" fillId="12" borderId="32" xfId="0" applyFont="1" applyFill="1" applyBorder="1" applyAlignment="1">
      <alignment horizontal="center" vertical="center" wrapText="1"/>
    </xf>
    <xf numFmtId="0" fontId="55" fillId="12" borderId="33" xfId="0" applyFont="1" applyFill="1" applyBorder="1" applyAlignment="1">
      <alignment horizontal="center" vertical="center" wrapText="1"/>
    </xf>
    <xf numFmtId="0" fontId="55" fillId="12" borderId="34" xfId="0" applyFont="1" applyFill="1" applyBorder="1" applyAlignment="1">
      <alignment horizontal="center" vertical="center" wrapText="1"/>
    </xf>
    <xf numFmtId="1" fontId="42" fillId="9" borderId="35" xfId="0" applyNumberFormat="1" applyFont="1" applyFill="1" applyBorder="1" applyAlignment="1">
      <alignment wrapText="1"/>
    </xf>
    <xf numFmtId="167" fontId="46" fillId="9" borderId="13" xfId="13" applyNumberFormat="1" applyFont="1" applyFill="1" applyBorder="1" applyAlignment="1" applyProtection="1">
      <alignment horizontal="center" vertical="center" wrapText="1"/>
    </xf>
    <xf numFmtId="167" fontId="46" fillId="9" borderId="0" xfId="13" applyNumberFormat="1" applyFont="1" applyFill="1" applyBorder="1" applyAlignment="1" applyProtection="1">
      <alignment horizontal="center" vertical="center" wrapText="1"/>
    </xf>
    <xf numFmtId="167" fontId="47" fillId="9" borderId="38" xfId="13" applyNumberFormat="1" applyFont="1" applyFill="1" applyBorder="1" applyAlignment="1" applyProtection="1">
      <alignment vertical="center" wrapText="1"/>
    </xf>
    <xf numFmtId="167" fontId="47" fillId="9" borderId="42" xfId="13" applyNumberFormat="1" applyFont="1" applyFill="1" applyBorder="1" applyAlignment="1" applyProtection="1">
      <alignment vertical="center" wrapText="1"/>
    </xf>
    <xf numFmtId="0" fontId="49" fillId="12" borderId="36" xfId="0" applyFont="1" applyFill="1" applyBorder="1" applyAlignment="1">
      <alignment horizontal="right" vertical="center" wrapText="1"/>
    </xf>
    <xf numFmtId="3" fontId="47" fillId="9" borderId="43" xfId="0" applyNumberFormat="1" applyFont="1" applyFill="1" applyBorder="1" applyAlignment="1">
      <alignment vertical="center" wrapText="1"/>
    </xf>
    <xf numFmtId="164" fontId="47" fillId="9" borderId="44" xfId="16" applyFont="1" applyFill="1" applyBorder="1" applyAlignment="1" applyProtection="1">
      <alignment vertical="center" wrapText="1"/>
    </xf>
    <xf numFmtId="3" fontId="47" fillId="9" borderId="45" xfId="0" applyNumberFormat="1" applyFont="1" applyFill="1" applyBorder="1" applyAlignment="1">
      <alignment vertical="center" wrapText="1"/>
    </xf>
    <xf numFmtId="164" fontId="47" fillId="9" borderId="46" xfId="16" applyFont="1" applyFill="1" applyBorder="1" applyAlignment="1" applyProtection="1">
      <alignment vertical="center" wrapText="1"/>
    </xf>
    <xf numFmtId="3" fontId="47" fillId="9" borderId="47" xfId="0" applyNumberFormat="1" applyFont="1" applyFill="1" applyBorder="1" applyAlignment="1">
      <alignment vertical="center" wrapText="1"/>
    </xf>
    <xf numFmtId="164" fontId="47" fillId="9" borderId="48" xfId="16" applyFont="1" applyFill="1" applyBorder="1" applyAlignment="1" applyProtection="1">
      <alignment vertical="center" wrapText="1"/>
    </xf>
    <xf numFmtId="167" fontId="47" fillId="9" borderId="49" xfId="13" applyNumberFormat="1" applyFont="1" applyFill="1" applyBorder="1" applyAlignment="1" applyProtection="1">
      <alignment vertical="center" wrapText="1"/>
    </xf>
    <xf numFmtId="164" fontId="47" fillId="9" borderId="41" xfId="16" applyFont="1" applyFill="1" applyBorder="1" applyAlignment="1" applyProtection="1">
      <alignment horizontal="right" vertical="center" wrapText="1"/>
    </xf>
    <xf numFmtId="3" fontId="47" fillId="9" borderId="50" xfId="0" applyNumberFormat="1" applyFont="1" applyFill="1" applyBorder="1" applyAlignment="1">
      <alignment vertical="center" wrapText="1"/>
    </xf>
    <xf numFmtId="3" fontId="56" fillId="9" borderId="0" xfId="0" applyNumberFormat="1" applyFont="1" applyFill="1" applyAlignment="1">
      <alignment horizontal="left" vertical="center" wrapText="1"/>
    </xf>
    <xf numFmtId="3" fontId="47" fillId="9" borderId="22" xfId="0" applyNumberFormat="1" applyFont="1" applyFill="1" applyBorder="1" applyAlignment="1">
      <alignment vertical="center" wrapText="1"/>
    </xf>
    <xf numFmtId="3" fontId="47" fillId="9" borderId="24" xfId="0" applyNumberFormat="1" applyFont="1" applyFill="1" applyBorder="1" applyAlignment="1">
      <alignment vertical="center" wrapText="1"/>
    </xf>
    <xf numFmtId="164" fontId="47" fillId="9" borderId="51" xfId="16" applyFont="1" applyFill="1" applyBorder="1" applyAlignment="1" applyProtection="1">
      <alignment vertical="center" wrapText="1"/>
    </xf>
    <xf numFmtId="3" fontId="47" fillId="9" borderId="25" xfId="0" applyNumberFormat="1" applyFont="1" applyFill="1" applyBorder="1" applyAlignment="1">
      <alignment vertical="center" wrapText="1"/>
    </xf>
    <xf numFmtId="3" fontId="47" fillId="9" borderId="26" xfId="0" applyNumberFormat="1" applyFont="1" applyFill="1" applyBorder="1" applyAlignment="1">
      <alignment vertical="center" wrapText="1"/>
    </xf>
    <xf numFmtId="164" fontId="47" fillId="9" borderId="38" xfId="16" applyFont="1" applyFill="1" applyBorder="1" applyAlignment="1" applyProtection="1">
      <alignment vertical="center" wrapText="1"/>
    </xf>
    <xf numFmtId="0" fontId="49" fillId="9" borderId="0" xfId="0" applyFont="1" applyFill="1" applyAlignment="1">
      <alignment vertical="center" wrapText="1"/>
    </xf>
    <xf numFmtId="0" fontId="49" fillId="9" borderId="30" xfId="0" applyFont="1" applyFill="1" applyBorder="1" applyAlignment="1">
      <alignment vertical="center" wrapText="1"/>
    </xf>
    <xf numFmtId="0" fontId="49" fillId="9" borderId="31" xfId="0" applyFont="1" applyFill="1" applyBorder="1" applyAlignment="1">
      <alignment vertical="center" wrapText="1"/>
    </xf>
    <xf numFmtId="3" fontId="47" fillId="9" borderId="27" xfId="0" applyNumberFormat="1" applyFont="1" applyFill="1" applyBorder="1" applyAlignment="1">
      <alignment vertical="center" wrapText="1"/>
    </xf>
    <xf numFmtId="3" fontId="47" fillId="9" borderId="29" xfId="0" applyNumberFormat="1" applyFont="1" applyFill="1" applyBorder="1" applyAlignment="1">
      <alignment vertical="center" wrapText="1"/>
    </xf>
    <xf numFmtId="164" fontId="47" fillId="9" borderId="50" xfId="16" applyFont="1" applyFill="1" applyBorder="1" applyAlignment="1" applyProtection="1">
      <alignment vertical="center" wrapText="1"/>
    </xf>
    <xf numFmtId="0" fontId="57" fillId="9" borderId="0" xfId="0" applyFont="1" applyFill="1" applyAlignment="1">
      <alignment wrapText="1"/>
    </xf>
    <xf numFmtId="0" fontId="49" fillId="9" borderId="13" xfId="0" applyFont="1" applyFill="1" applyBorder="1" applyAlignment="1">
      <alignment vertical="center" wrapText="1"/>
    </xf>
    <xf numFmtId="1" fontId="39" fillId="13" borderId="32" xfId="0" applyNumberFormat="1" applyFont="1" applyFill="1" applyBorder="1" applyAlignment="1">
      <alignment horizontal="center" vertical="center" wrapText="1"/>
    </xf>
    <xf numFmtId="1" fontId="39" fillId="13" borderId="33" xfId="0" applyNumberFormat="1" applyFont="1" applyFill="1" applyBorder="1" applyAlignment="1">
      <alignment horizontal="center" vertical="center" wrapText="1"/>
    </xf>
    <xf numFmtId="1" fontId="39" fillId="13" borderId="34" xfId="0" applyNumberFormat="1" applyFont="1" applyFill="1" applyBorder="1" applyAlignment="1">
      <alignment horizontal="center" vertical="center" wrapText="1"/>
    </xf>
    <xf numFmtId="0" fontId="57" fillId="9" borderId="0" xfId="0" applyFont="1" applyFill="1" applyAlignment="1">
      <alignment horizontal="center" wrapText="1"/>
    </xf>
    <xf numFmtId="0" fontId="49" fillId="12" borderId="0" xfId="0" applyFont="1" applyFill="1" applyAlignment="1">
      <alignment horizontal="left" vertical="center" wrapText="1"/>
    </xf>
    <xf numFmtId="0" fontId="50" fillId="12" borderId="0" xfId="0" applyFont="1" applyFill="1" applyAlignment="1">
      <alignment horizontal="left" vertical="center" wrapText="1"/>
    </xf>
    <xf numFmtId="0" fontId="49" fillId="12" borderId="0" xfId="0" applyFont="1" applyFill="1" applyAlignment="1">
      <alignment horizontal="right" vertical="center" wrapText="1"/>
    </xf>
    <xf numFmtId="1" fontId="49" fillId="12" borderId="0" xfId="0" applyNumberFormat="1" applyFont="1" applyFill="1" applyAlignment="1">
      <alignment horizontal="right" vertical="center" wrapText="1"/>
    </xf>
    <xf numFmtId="1" fontId="39" fillId="9" borderId="0" xfId="0" applyNumberFormat="1" applyFont="1" applyFill="1" applyAlignment="1">
      <alignment horizontal="center" vertical="center" wrapText="1"/>
    </xf>
    <xf numFmtId="1" fontId="42" fillId="9" borderId="14" xfId="0" applyNumberFormat="1" applyFont="1" applyFill="1" applyBorder="1" applyAlignment="1">
      <alignment horizontal="center" vertical="center" wrapText="1"/>
    </xf>
    <xf numFmtId="0" fontId="50" fillId="12" borderId="0" xfId="0" applyFont="1" applyFill="1" applyAlignment="1">
      <alignment vertical="center" wrapText="1"/>
    </xf>
    <xf numFmtId="0" fontId="39" fillId="9" borderId="31" xfId="0" applyFont="1" applyFill="1" applyBorder="1" applyAlignment="1">
      <alignment wrapText="1"/>
    </xf>
    <xf numFmtId="1" fontId="42" fillId="9" borderId="31" xfId="0" applyNumberFormat="1" applyFont="1" applyFill="1" applyBorder="1" applyAlignment="1">
      <alignment horizontal="center" vertical="center" wrapText="1"/>
    </xf>
    <xf numFmtId="1" fontId="42" fillId="9" borderId="35" xfId="0" applyNumberFormat="1" applyFont="1" applyFill="1" applyBorder="1" applyAlignment="1">
      <alignment horizontal="center" vertical="center" wrapText="1"/>
    </xf>
    <xf numFmtId="170" fontId="49" fillId="12" borderId="0" xfId="0" applyNumberFormat="1" applyFont="1" applyFill="1" applyAlignment="1">
      <alignment horizontal="left" vertical="center" wrapText="1"/>
    </xf>
    <xf numFmtId="165" fontId="39" fillId="9" borderId="0" xfId="0" applyNumberFormat="1" applyFont="1" applyFill="1" applyAlignment="1">
      <alignment horizontal="center" vertical="center" wrapText="1"/>
    </xf>
    <xf numFmtId="0" fontId="39" fillId="9" borderId="0" xfId="0" applyFont="1" applyFill="1" applyAlignment="1">
      <alignment horizontal="left" wrapText="1"/>
    </xf>
    <xf numFmtId="0" fontId="60" fillId="9" borderId="0" xfId="0" applyFont="1" applyFill="1" applyAlignment="1">
      <alignment horizontal="left" vertical="center"/>
    </xf>
    <xf numFmtId="0" fontId="12" fillId="9" borderId="0" xfId="0" applyFont="1" applyFill="1" applyAlignment="1">
      <alignment horizontal="left" vertical="center" indent="2"/>
    </xf>
    <xf numFmtId="0" fontId="23" fillId="9" borderId="0" xfId="0" applyFont="1" applyFill="1" applyAlignment="1">
      <alignment horizontal="left" indent="2"/>
    </xf>
    <xf numFmtId="1" fontId="24" fillId="9" borderId="8" xfId="0" applyNumberFormat="1" applyFont="1" applyFill="1" applyBorder="1" applyAlignment="1">
      <alignment vertical="center"/>
    </xf>
    <xf numFmtId="164" fontId="12" fillId="9" borderId="0" xfId="0" applyNumberFormat="1" applyFont="1" applyFill="1" applyAlignment="1">
      <alignment horizontal="left" vertical="center"/>
    </xf>
    <xf numFmtId="0" fontId="62" fillId="11" borderId="52" xfId="0" applyFont="1" applyFill="1" applyBorder="1" applyAlignment="1">
      <alignment horizontal="right" vertical="center" wrapText="1" indent="1"/>
    </xf>
    <xf numFmtId="1" fontId="64" fillId="12" borderId="53" xfId="0" applyNumberFormat="1" applyFont="1" applyFill="1" applyBorder="1" applyAlignment="1">
      <alignment horizontal="right" vertical="center"/>
    </xf>
    <xf numFmtId="0" fontId="64" fillId="12" borderId="8" xfId="0" applyFont="1" applyFill="1" applyBorder="1" applyAlignment="1">
      <alignment horizontal="center" vertical="center"/>
    </xf>
    <xf numFmtId="1" fontId="64" fillId="12" borderId="8" xfId="0" applyNumberFormat="1" applyFont="1" applyFill="1" applyBorder="1" applyAlignment="1">
      <alignment horizontal="left" vertical="center"/>
    </xf>
    <xf numFmtId="164" fontId="60" fillId="12" borderId="54"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9" borderId="0" xfId="0" applyFill="1" applyAlignment="1">
      <alignment vertical="center"/>
    </xf>
    <xf numFmtId="0" fontId="0" fillId="9" borderId="0" xfId="0" applyFill="1" applyAlignment="1">
      <alignment horizontal="center" vertical="center"/>
    </xf>
    <xf numFmtId="0" fontId="0" fillId="9" borderId="0" xfId="0" applyFill="1" applyAlignment="1">
      <alignment horizontal="left" vertical="center"/>
    </xf>
    <xf numFmtId="164" fontId="0" fillId="9" borderId="0" xfId="0" applyNumberFormat="1" applyFill="1" applyAlignment="1">
      <alignment horizontal="center" vertical="center"/>
    </xf>
    <xf numFmtId="0" fontId="65" fillId="9" borderId="0" xfId="0" applyFont="1" applyFill="1" applyAlignment="1">
      <alignment horizontal="left" vertical="center"/>
    </xf>
    <xf numFmtId="1" fontId="65" fillId="9" borderId="0" xfId="0" applyNumberFormat="1" applyFont="1" applyFill="1" applyAlignment="1">
      <alignment horizontal="center" vertical="center"/>
    </xf>
    <xf numFmtId="0" fontId="66" fillId="9" borderId="0" xfId="0" applyFont="1" applyFill="1" applyAlignment="1">
      <alignment vertical="center"/>
    </xf>
    <xf numFmtId="1" fontId="16" fillId="9" borderId="55" xfId="0" applyNumberFormat="1" applyFont="1" applyFill="1" applyBorder="1" applyAlignment="1">
      <alignment horizontal="left" vertical="center" indent="1"/>
    </xf>
    <xf numFmtId="0" fontId="16" fillId="9" borderId="56" xfId="0" applyFont="1" applyFill="1" applyBorder="1" applyAlignment="1">
      <alignment horizontal="center" vertical="center"/>
    </xf>
    <xf numFmtId="1" fontId="16" fillId="9" borderId="56" xfId="0" applyNumberFormat="1" applyFont="1" applyFill="1" applyBorder="1" applyAlignment="1">
      <alignment horizontal="left" vertical="center"/>
    </xf>
    <xf numFmtId="164" fontId="14" fillId="9" borderId="57" xfId="0" applyNumberFormat="1" applyFont="1" applyFill="1" applyBorder="1" applyAlignment="1">
      <alignment horizontal="right" vertical="center" indent="1"/>
    </xf>
    <xf numFmtId="1" fontId="22" fillId="12" borderId="55" xfId="0" applyNumberFormat="1" applyFont="1" applyFill="1" applyBorder="1" applyAlignment="1">
      <alignment horizontal="left" vertical="center" indent="1"/>
    </xf>
    <xf numFmtId="1" fontId="22" fillId="12" borderId="56" xfId="0" applyNumberFormat="1" applyFont="1" applyFill="1" applyBorder="1" applyAlignment="1">
      <alignment horizontal="right" vertical="center"/>
    </xf>
    <xf numFmtId="0" fontId="22" fillId="12" borderId="56" xfId="0" applyFont="1" applyFill="1" applyBorder="1" applyAlignment="1">
      <alignment horizontal="center" vertical="center"/>
    </xf>
    <xf numFmtId="1" fontId="22" fillId="12" borderId="56" xfId="0" applyNumberFormat="1" applyFont="1" applyFill="1" applyBorder="1" applyAlignment="1">
      <alignment horizontal="left" vertical="center"/>
    </xf>
    <xf numFmtId="164" fontId="22" fillId="12" borderId="57" xfId="0" applyNumberFormat="1" applyFont="1" applyFill="1" applyBorder="1" applyAlignment="1">
      <alignment horizontal="right" vertical="center" indent="1"/>
    </xf>
    <xf numFmtId="0" fontId="16" fillId="12" borderId="56" xfId="0" applyFont="1" applyFill="1" applyBorder="1" applyAlignment="1">
      <alignment horizontal="center" vertical="center"/>
    </xf>
    <xf numFmtId="0" fontId="67" fillId="9" borderId="0" xfId="0" applyFont="1" applyFill="1" applyAlignment="1">
      <alignment vertical="center"/>
    </xf>
    <xf numFmtId="0" fontId="68" fillId="9" borderId="0" xfId="0" applyFont="1" applyFill="1" applyAlignment="1">
      <alignment vertical="center"/>
    </xf>
    <xf numFmtId="0" fontId="13" fillId="9" borderId="0" xfId="0" applyFont="1" applyFill="1" applyAlignment="1">
      <alignment horizontal="left" vertical="center"/>
    </xf>
    <xf numFmtId="0" fontId="67" fillId="9" borderId="58" xfId="0" applyFont="1" applyFill="1" applyBorder="1" applyAlignment="1">
      <alignment horizontal="left" vertical="center"/>
    </xf>
    <xf numFmtId="0" fontId="27" fillId="9" borderId="58" xfId="0" applyFont="1" applyFill="1" applyBorder="1" applyAlignment="1">
      <alignment vertical="center" wrapText="1"/>
    </xf>
    <xf numFmtId="0" fontId="67" fillId="9" borderId="0" xfId="0" applyFont="1" applyFill="1" applyAlignment="1">
      <alignment horizontal="left" vertical="center"/>
    </xf>
    <xf numFmtId="0" fontId="27" fillId="9" borderId="0" xfId="0" applyFont="1" applyFill="1" applyAlignment="1">
      <alignment vertical="center" wrapText="1"/>
    </xf>
    <xf numFmtId="0" fontId="67" fillId="9" borderId="59" xfId="0" applyFont="1" applyFill="1" applyBorder="1" applyAlignment="1">
      <alignment horizontal="right" vertical="center"/>
    </xf>
    <xf numFmtId="0" fontId="67" fillId="9" borderId="60" xfId="0" applyFont="1" applyFill="1" applyBorder="1" applyAlignment="1">
      <alignment horizontal="right" vertical="center"/>
    </xf>
    <xf numFmtId="0" fontId="67" fillId="9" borderId="60" xfId="0" applyFont="1" applyFill="1" applyBorder="1" applyAlignment="1">
      <alignment horizontal="right" vertical="center" wrapText="1"/>
    </xf>
    <xf numFmtId="0" fontId="67" fillId="9" borderId="61" xfId="0" applyFont="1" applyFill="1" applyBorder="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69" fillId="11" borderId="13" xfId="0" applyFont="1" applyFill="1" applyBorder="1" applyAlignment="1">
      <alignment vertical="center" wrapText="1"/>
    </xf>
    <xf numFmtId="0" fontId="70" fillId="11" borderId="0" xfId="0" applyFont="1" applyFill="1" applyAlignment="1">
      <alignment vertical="center" wrapText="1"/>
    </xf>
    <xf numFmtId="0" fontId="69" fillId="11" borderId="30" xfId="0" applyFont="1" applyFill="1" applyBorder="1" applyAlignment="1">
      <alignment vertical="center" wrapText="1"/>
    </xf>
    <xf numFmtId="0" fontId="69" fillId="11" borderId="31" xfId="0" applyFont="1" applyFill="1" applyBorder="1" applyAlignment="1">
      <alignment vertical="center" wrapText="1"/>
    </xf>
    <xf numFmtId="0" fontId="72" fillId="0" borderId="30" xfId="0" applyFont="1" applyBorder="1" applyAlignment="1">
      <alignment horizontal="center" vertical="center" wrapText="1"/>
    </xf>
    <xf numFmtId="0" fontId="73" fillId="0" borderId="35" xfId="0" applyFont="1" applyBorder="1" applyAlignment="1">
      <alignment vertical="center" wrapText="1"/>
    </xf>
    <xf numFmtId="0" fontId="72" fillId="0" borderId="30" xfId="0" applyFont="1" applyBorder="1" applyAlignment="1">
      <alignment vertical="center" wrapText="1"/>
    </xf>
    <xf numFmtId="0" fontId="72" fillId="0" borderId="31" xfId="0" applyFont="1" applyBorder="1" applyAlignment="1">
      <alignment vertical="center" wrapText="1"/>
    </xf>
    <xf numFmtId="3" fontId="72" fillId="12" borderId="30" xfId="0" applyNumberFormat="1" applyFont="1" applyFill="1" applyBorder="1" applyAlignment="1">
      <alignment horizontal="center" vertical="center" wrapText="1"/>
    </xf>
    <xf numFmtId="3" fontId="72" fillId="12" borderId="35" xfId="0" applyNumberFormat="1" applyFont="1" applyFill="1" applyBorder="1" applyAlignment="1">
      <alignment horizontal="center" vertical="center" wrapText="1"/>
    </xf>
    <xf numFmtId="3" fontId="72" fillId="12" borderId="31" xfId="0" applyNumberFormat="1" applyFont="1" applyFill="1" applyBorder="1" applyAlignment="1">
      <alignment horizontal="center" vertical="center" wrapText="1"/>
    </xf>
    <xf numFmtId="0" fontId="27" fillId="0" borderId="62" xfId="0" applyFont="1" applyBorder="1" applyAlignment="1">
      <alignment vertical="center" wrapText="1"/>
    </xf>
    <xf numFmtId="0" fontId="72" fillId="0" borderId="36" xfId="0" applyFont="1" applyBorder="1" applyAlignment="1">
      <alignment horizontal="center" vertical="center" wrapText="1"/>
    </xf>
    <xf numFmtId="0" fontId="73" fillId="0" borderId="63" xfId="0" applyFont="1" applyBorder="1" applyAlignment="1">
      <alignment vertical="center" wrapText="1"/>
    </xf>
    <xf numFmtId="0" fontId="69" fillId="11" borderId="64" xfId="0" applyFont="1" applyFill="1" applyBorder="1" applyAlignment="1">
      <alignment vertical="center" wrapText="1"/>
    </xf>
    <xf numFmtId="0" fontId="69" fillId="11" borderId="65" xfId="0" applyFont="1" applyFill="1" applyBorder="1" applyAlignment="1">
      <alignment vertical="center" wrapText="1"/>
    </xf>
    <xf numFmtId="0" fontId="73" fillId="0" borderId="64" xfId="0" applyFont="1" applyBorder="1" applyAlignment="1">
      <alignment horizontal="center" vertical="center" wrapText="1"/>
    </xf>
    <xf numFmtId="0" fontId="73" fillId="0" borderId="66" xfId="0" applyFont="1" applyBorder="1" applyAlignment="1">
      <alignment vertical="center" wrapText="1"/>
    </xf>
    <xf numFmtId="0" fontId="73" fillId="0" borderId="64" xfId="0" applyFont="1" applyBorder="1" applyAlignment="1">
      <alignment vertical="center" wrapText="1"/>
    </xf>
    <xf numFmtId="0" fontId="73" fillId="0" borderId="65" xfId="0" applyFont="1" applyBorder="1" applyAlignment="1">
      <alignment vertical="center" wrapText="1"/>
    </xf>
    <xf numFmtId="3" fontId="73" fillId="12" borderId="66" xfId="0" applyNumberFormat="1" applyFont="1" applyFill="1" applyBorder="1" applyAlignment="1">
      <alignment horizontal="center" vertical="center" wrapText="1"/>
    </xf>
    <xf numFmtId="3" fontId="73" fillId="12" borderId="65" xfId="0" applyNumberFormat="1" applyFont="1" applyFill="1" applyBorder="1" applyAlignment="1">
      <alignment horizontal="center" vertical="center" wrapText="1"/>
    </xf>
    <xf numFmtId="3" fontId="72" fillId="12" borderId="66" xfId="0" applyNumberFormat="1" applyFont="1" applyFill="1" applyBorder="1" applyAlignment="1">
      <alignment horizontal="center" vertical="center" wrapText="1"/>
    </xf>
    <xf numFmtId="0" fontId="73" fillId="0" borderId="36" xfId="0" applyFont="1" applyBorder="1" applyAlignment="1">
      <alignment vertical="center" wrapText="1"/>
    </xf>
    <xf numFmtId="0" fontId="69" fillId="11" borderId="67" xfId="0" applyFont="1" applyFill="1" applyBorder="1" applyAlignment="1">
      <alignment vertical="center" wrapText="1"/>
    </xf>
    <xf numFmtId="0" fontId="73" fillId="0" borderId="67" xfId="0" applyFont="1" applyBorder="1" applyAlignment="1">
      <alignment horizontal="center" vertical="center" wrapText="1"/>
    </xf>
    <xf numFmtId="0" fontId="73" fillId="0" borderId="68" xfId="0" applyFont="1" applyBorder="1" applyAlignment="1">
      <alignment vertical="center" wrapText="1"/>
    </xf>
    <xf numFmtId="0" fontId="73" fillId="0" borderId="67" xfId="0" applyFont="1" applyBorder="1" applyAlignment="1">
      <alignment vertical="center" wrapText="1"/>
    </xf>
    <xf numFmtId="0" fontId="73" fillId="0" borderId="69" xfId="0" applyFont="1" applyBorder="1" applyAlignment="1">
      <alignment vertical="center" wrapText="1"/>
    </xf>
    <xf numFmtId="3" fontId="73" fillId="12" borderId="67" xfId="0" applyNumberFormat="1" applyFont="1" applyFill="1" applyBorder="1" applyAlignment="1">
      <alignment horizontal="center" vertical="center" wrapText="1"/>
    </xf>
    <xf numFmtId="3" fontId="72" fillId="12" borderId="68" xfId="0" applyNumberFormat="1" applyFont="1" applyFill="1" applyBorder="1" applyAlignment="1">
      <alignment horizontal="center" vertical="center" wrapText="1"/>
    </xf>
    <xf numFmtId="3" fontId="73" fillId="12" borderId="69" xfId="0" applyNumberFormat="1" applyFont="1" applyFill="1" applyBorder="1" applyAlignment="1">
      <alignment horizontal="center" vertical="center" wrapText="1"/>
    </xf>
    <xf numFmtId="0" fontId="73" fillId="0" borderId="70" xfId="0" applyFont="1" applyBorder="1" applyAlignment="1">
      <alignment vertical="center" wrapText="1"/>
    </xf>
    <xf numFmtId="0" fontId="73" fillId="0" borderId="71" xfId="0" applyFont="1" applyBorder="1" applyAlignment="1">
      <alignment vertical="center" wrapText="1"/>
    </xf>
    <xf numFmtId="0" fontId="73" fillId="0" borderId="72" xfId="0" applyFont="1" applyBorder="1" applyAlignment="1">
      <alignment vertical="center" wrapText="1"/>
    </xf>
    <xf numFmtId="0" fontId="73" fillId="0" borderId="14" xfId="0" applyFont="1" applyBorder="1" applyAlignment="1">
      <alignment vertical="center" wrapText="1"/>
    </xf>
    <xf numFmtId="0" fontId="73" fillId="0" borderId="13" xfId="0" applyFont="1" applyBorder="1" applyAlignment="1">
      <alignment vertical="center" wrapText="1"/>
    </xf>
    <xf numFmtId="0" fontId="73" fillId="0" borderId="0" xfId="0" applyFont="1" applyAlignment="1">
      <alignment vertical="center" wrapText="1"/>
    </xf>
    <xf numFmtId="3" fontId="73" fillId="12" borderId="68" xfId="0" applyNumberFormat="1" applyFont="1" applyFill="1" applyBorder="1" applyAlignment="1">
      <alignment horizontal="center" vertical="center" wrapText="1"/>
    </xf>
    <xf numFmtId="0" fontId="73" fillId="0" borderId="73" xfId="0" applyFont="1" applyBorder="1" applyAlignment="1">
      <alignment vertical="center" wrapText="1"/>
    </xf>
    <xf numFmtId="0" fontId="73" fillId="0" borderId="74" xfId="0" applyFont="1" applyBorder="1" applyAlignment="1">
      <alignment vertical="center" wrapText="1"/>
    </xf>
    <xf numFmtId="0" fontId="73" fillId="0" borderId="75" xfId="0" applyFont="1" applyBorder="1" applyAlignment="1">
      <alignment vertical="center" wrapText="1"/>
    </xf>
    <xf numFmtId="0" fontId="73" fillId="0" borderId="76" xfId="0" applyFont="1" applyBorder="1" applyAlignment="1">
      <alignment vertical="center" wrapText="1"/>
    </xf>
    <xf numFmtId="0" fontId="27" fillId="0" borderId="77" xfId="0" applyFont="1" applyBorder="1" applyAlignment="1">
      <alignment vertical="center" wrapText="1"/>
    </xf>
    <xf numFmtId="0" fontId="73" fillId="0" borderId="40" xfId="0" applyFont="1" applyBorder="1" applyAlignment="1">
      <alignment vertical="center" wrapText="1"/>
    </xf>
    <xf numFmtId="0" fontId="27" fillId="0" borderId="78" xfId="0" applyFont="1" applyBorder="1" applyAlignment="1">
      <alignment vertical="center" wrapText="1"/>
    </xf>
    <xf numFmtId="0" fontId="69" fillId="11" borderId="79" xfId="0" applyFont="1" applyFill="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164" fontId="27" fillId="0" borderId="11" xfId="16" applyFont="1" applyFill="1" applyBorder="1" applyAlignment="1" applyProtection="1">
      <alignment horizontal="center" vertical="center" wrapText="1"/>
    </xf>
    <xf numFmtId="0" fontId="27" fillId="0" borderId="11" xfId="0" applyFont="1" applyBorder="1" applyAlignment="1">
      <alignment horizontal="center" vertical="center" wrapText="1"/>
    </xf>
    <xf numFmtId="2" fontId="27" fillId="0" borderId="11" xfId="0" applyNumberFormat="1" applyFont="1" applyBorder="1" applyAlignment="1">
      <alignment vertical="center" wrapText="1"/>
    </xf>
    <xf numFmtId="2" fontId="27" fillId="0" borderId="12" xfId="0" applyNumberFormat="1" applyFont="1" applyBorder="1" applyAlignment="1">
      <alignment vertical="center" wrapText="1"/>
    </xf>
    <xf numFmtId="0" fontId="27" fillId="0" borderId="13" xfId="0" applyFont="1" applyBorder="1" applyAlignment="1">
      <alignment vertical="center" wrapText="1"/>
    </xf>
    <xf numFmtId="164" fontId="27" fillId="0" borderId="0" xfId="16" applyFont="1" applyFill="1" applyBorder="1" applyAlignment="1" applyProtection="1">
      <alignment horizontal="center" vertical="center" wrapText="1"/>
    </xf>
    <xf numFmtId="2" fontId="27" fillId="0" borderId="0" xfId="0" applyNumberFormat="1" applyFont="1" applyAlignment="1">
      <alignment vertical="center" wrapText="1"/>
    </xf>
    <xf numFmtId="2" fontId="27" fillId="0" borderId="14" xfId="0" applyNumberFormat="1" applyFont="1" applyBorder="1" applyAlignment="1">
      <alignment vertical="center" wrapText="1"/>
    </xf>
    <xf numFmtId="164" fontId="27" fillId="0" borderId="0" xfId="0" applyNumberFormat="1" applyFont="1" applyAlignment="1">
      <alignment horizontal="center" vertical="center" wrapText="1"/>
    </xf>
    <xf numFmtId="0" fontId="27" fillId="0" borderId="30" xfId="0" applyFont="1" applyBorder="1" applyAlignment="1">
      <alignment vertical="center" wrapText="1"/>
    </xf>
    <xf numFmtId="0" fontId="71" fillId="0" borderId="31" xfId="0" applyFont="1" applyBorder="1" applyAlignment="1">
      <alignment vertical="center" wrapText="1"/>
    </xf>
    <xf numFmtId="0" fontId="27" fillId="0" borderId="31" xfId="0" applyFont="1" applyBorder="1" applyAlignment="1">
      <alignment horizontal="center" vertical="center" wrapText="1"/>
    </xf>
    <xf numFmtId="0" fontId="27" fillId="0" borderId="31" xfId="0" applyFont="1" applyBorder="1" applyAlignment="1">
      <alignment vertical="center" wrapText="1"/>
    </xf>
    <xf numFmtId="0" fontId="27" fillId="0" borderId="35" xfId="0" applyFont="1" applyBorder="1" applyAlignment="1">
      <alignment vertical="center" wrapText="1"/>
    </xf>
    <xf numFmtId="0" fontId="27" fillId="0" borderId="0" xfId="0" applyFont="1"/>
    <xf numFmtId="0" fontId="27" fillId="0" borderId="0" xfId="0" applyFont="1" applyAlignment="1">
      <alignment horizontal="center"/>
    </xf>
    <xf numFmtId="0" fontId="69" fillId="12" borderId="80" xfId="0" applyFont="1" applyFill="1" applyBorder="1" applyAlignment="1">
      <alignment horizontal="left" vertical="center" wrapText="1"/>
    </xf>
    <xf numFmtId="0" fontId="69" fillId="12" borderId="80" xfId="0" applyFont="1" applyFill="1" applyBorder="1" applyAlignment="1">
      <alignment horizontal="center" vertical="center" wrapText="1"/>
    </xf>
    <xf numFmtId="0" fontId="69" fillId="12" borderId="81" xfId="0" applyFont="1" applyFill="1" applyBorder="1" applyAlignment="1">
      <alignment horizontal="center" vertical="center" wrapText="1"/>
    </xf>
    <xf numFmtId="0" fontId="69" fillId="12" borderId="82" xfId="0" applyFont="1" applyFill="1" applyBorder="1" applyAlignment="1">
      <alignment horizontal="center" vertical="center" wrapText="1"/>
    </xf>
    <xf numFmtId="0" fontId="69" fillId="12" borderId="83" xfId="0" applyFont="1" applyFill="1" applyBorder="1" applyAlignment="1">
      <alignment horizontal="center" vertical="center" wrapText="1"/>
    </xf>
    <xf numFmtId="0" fontId="69" fillId="12" borderId="84" xfId="0" applyFont="1" applyFill="1" applyBorder="1" applyAlignment="1">
      <alignment horizontal="center" vertical="center" wrapText="1"/>
    </xf>
    <xf numFmtId="0" fontId="69" fillId="12" borderId="85" xfId="0" applyFont="1" applyFill="1" applyBorder="1" applyAlignment="1">
      <alignment horizontal="center" vertical="center" wrapText="1"/>
    </xf>
    <xf numFmtId="3" fontId="71" fillId="12" borderId="86" xfId="0" applyNumberFormat="1" applyFont="1" applyFill="1" applyBorder="1" applyAlignment="1">
      <alignment horizontal="center" vertical="center" wrapText="1"/>
    </xf>
    <xf numFmtId="3" fontId="71" fillId="12" borderId="16" xfId="0" applyNumberFormat="1" applyFont="1" applyFill="1" applyBorder="1" applyAlignment="1">
      <alignment horizontal="center" vertical="center" wrapText="1"/>
    </xf>
    <xf numFmtId="4" fontId="71" fillId="0" borderId="87" xfId="0" applyNumberFormat="1" applyFont="1" applyBorder="1" applyAlignment="1">
      <alignment horizontal="center" vertical="center" wrapText="1"/>
    </xf>
    <xf numFmtId="3" fontId="71" fillId="0" borderId="80" xfId="0" applyNumberFormat="1" applyFont="1" applyBorder="1" applyAlignment="1">
      <alignment horizontal="center" vertical="center" wrapText="1"/>
    </xf>
    <xf numFmtId="3" fontId="71" fillId="0" borderId="81" xfId="0" applyNumberFormat="1" applyFont="1" applyBorder="1" applyAlignment="1">
      <alignment horizontal="center" vertical="center" wrapText="1"/>
    </xf>
    <xf numFmtId="164" fontId="27" fillId="0" borderId="0" xfId="16" applyFont="1" applyFill="1" applyBorder="1" applyAlignment="1" applyProtection="1"/>
    <xf numFmtId="0" fontId="27" fillId="0" borderId="13" xfId="0" applyFont="1" applyBorder="1"/>
    <xf numFmtId="165" fontId="27" fillId="0" borderId="0" xfId="0" applyNumberFormat="1" applyFont="1"/>
    <xf numFmtId="165" fontId="27" fillId="0" borderId="14" xfId="0" applyNumberFormat="1" applyFont="1" applyBorder="1"/>
    <xf numFmtId="0" fontId="69" fillId="12" borderId="81" xfId="0" applyFont="1" applyFill="1" applyBorder="1" applyAlignment="1">
      <alignment horizontal="left" vertical="center" wrapText="1"/>
    </xf>
    <xf numFmtId="3" fontId="71" fillId="12" borderId="22" xfId="0" applyNumberFormat="1" applyFont="1" applyFill="1" applyBorder="1" applyAlignment="1">
      <alignment horizontal="center" vertical="center" wrapText="1"/>
    </xf>
    <xf numFmtId="3" fontId="71" fillId="12" borderId="51" xfId="0" applyNumberFormat="1" applyFont="1" applyFill="1" applyBorder="1" applyAlignment="1">
      <alignment horizontal="center" vertical="center" wrapText="1"/>
    </xf>
    <xf numFmtId="0" fontId="27" fillId="15" borderId="88" xfId="0" applyFont="1" applyFill="1" applyBorder="1"/>
    <xf numFmtId="0" fontId="27" fillId="15" borderId="31" xfId="0" applyFont="1" applyFill="1" applyBorder="1"/>
    <xf numFmtId="0" fontId="69" fillId="0" borderId="0" xfId="0" applyFont="1" applyAlignment="1">
      <alignment horizontal="left" vertical="center" wrapText="1"/>
    </xf>
    <xf numFmtId="3" fontId="71" fillId="0" borderId="0" xfId="0" applyNumberFormat="1" applyFont="1" applyAlignment="1">
      <alignment horizontal="center" vertical="center" wrapText="1"/>
    </xf>
    <xf numFmtId="4" fontId="71" fillId="0" borderId="0" xfId="0" applyNumberFormat="1" applyFont="1" applyAlignment="1">
      <alignment horizontal="center" vertical="center" wrapText="1"/>
    </xf>
    <xf numFmtId="0" fontId="71" fillId="0" borderId="88" xfId="0" applyFont="1" applyBorder="1"/>
    <xf numFmtId="0" fontId="69" fillId="12" borderId="89" xfId="0" applyFont="1" applyFill="1" applyBorder="1" applyAlignment="1">
      <alignment horizontal="left" vertical="center" wrapText="1"/>
    </xf>
    <xf numFmtId="3" fontId="71" fillId="12" borderId="89" xfId="0" applyNumberFormat="1" applyFont="1" applyFill="1" applyBorder="1" applyAlignment="1">
      <alignment horizontal="center" vertical="center" wrapText="1"/>
    </xf>
    <xf numFmtId="164" fontId="71" fillId="12" borderId="90" xfId="16" applyFont="1" applyFill="1" applyBorder="1" applyAlignment="1" applyProtection="1">
      <alignment horizontal="center" vertical="center" wrapText="1"/>
    </xf>
    <xf numFmtId="3" fontId="71" fillId="12" borderId="50" xfId="0" applyNumberFormat="1" applyFont="1" applyFill="1" applyBorder="1" applyAlignment="1">
      <alignment horizontal="center" vertical="center" wrapText="1"/>
    </xf>
    <xf numFmtId="3" fontId="71" fillId="0" borderId="89" xfId="0" applyNumberFormat="1" applyFont="1" applyBorder="1" applyAlignment="1">
      <alignment horizontal="center" vertical="center" wrapText="1"/>
    </xf>
    <xf numFmtId="164" fontId="27" fillId="0" borderId="0" xfId="0" applyNumberFormat="1" applyFont="1"/>
    <xf numFmtId="0" fontId="69" fillId="12" borderId="0" xfId="0" applyFont="1" applyFill="1" applyAlignment="1">
      <alignment horizontal="left" vertical="center" wrapText="1"/>
    </xf>
    <xf numFmtId="3" fontId="71" fillId="12" borderId="0" xfId="0" applyNumberFormat="1" applyFont="1" applyFill="1" applyAlignment="1">
      <alignment horizontal="center" vertical="center" wrapText="1"/>
    </xf>
    <xf numFmtId="164" fontId="71" fillId="12" borderId="0" xfId="16" applyFont="1" applyFill="1" applyBorder="1" applyAlignment="1" applyProtection="1">
      <alignment horizontal="center" vertical="center" wrapText="1"/>
    </xf>
    <xf numFmtId="0" fontId="27" fillId="16" borderId="0" xfId="0" applyFont="1" applyFill="1"/>
    <xf numFmtId="0" fontId="70" fillId="11" borderId="0" xfId="0" applyFont="1" applyFill="1"/>
    <xf numFmtId="0" fontId="69" fillId="11" borderId="0" xfId="0" applyFont="1" applyFill="1"/>
    <xf numFmtId="0" fontId="69" fillId="11" borderId="0" xfId="0" applyFont="1" applyFill="1" applyAlignment="1">
      <alignment horizontal="center"/>
    </xf>
    <xf numFmtId="14" fontId="69" fillId="11" borderId="0" xfId="0" applyNumberFormat="1" applyFont="1" applyFill="1"/>
    <xf numFmtId="0" fontId="69" fillId="11" borderId="0" xfId="12" applyNumberFormat="1" applyFont="1" applyFill="1" applyBorder="1" applyAlignment="1" applyProtection="1"/>
    <xf numFmtId="0" fontId="17" fillId="11" borderId="0" xfId="12" applyNumberFormat="1" applyFill="1" applyBorder="1" applyAlignment="1" applyProtection="1"/>
    <xf numFmtId="0" fontId="76" fillId="0" borderId="0" xfId="0" applyFont="1"/>
    <xf numFmtId="3" fontId="76" fillId="0" borderId="0" xfId="0" applyNumberFormat="1" applyFont="1"/>
    <xf numFmtId="0" fontId="38" fillId="0" borderId="0" xfId="0" applyFont="1"/>
    <xf numFmtId="0" fontId="71" fillId="0" borderId="0" xfId="0" applyFont="1" applyAlignment="1">
      <alignment horizontal="center"/>
    </xf>
    <xf numFmtId="0" fontId="71" fillId="0" borderId="0" xfId="0" applyFont="1"/>
    <xf numFmtId="171" fontId="38" fillId="0" borderId="0" xfId="0" applyNumberFormat="1" applyFont="1"/>
    <xf numFmtId="0" fontId="27" fillId="17" borderId="0" xfId="0" applyFont="1" applyFill="1"/>
    <xf numFmtId="0" fontId="25" fillId="0" borderId="0" xfId="0" applyFont="1"/>
    <xf numFmtId="4" fontId="38" fillId="0" borderId="0" xfId="0" applyNumberFormat="1" applyFont="1"/>
    <xf numFmtId="3" fontId="38" fillId="0" borderId="0" xfId="0" applyNumberFormat="1" applyFont="1"/>
    <xf numFmtId="3" fontId="27" fillId="0" borderId="0" xfId="0" applyNumberFormat="1" applyFont="1"/>
    <xf numFmtId="2" fontId="27" fillId="0" borderId="0" xfId="0" applyNumberFormat="1" applyFont="1"/>
    <xf numFmtId="3" fontId="71" fillId="0" borderId="0" xfId="0" applyNumberFormat="1" applyFont="1"/>
    <xf numFmtId="2" fontId="71" fillId="0" borderId="0" xfId="0" applyNumberFormat="1" applyFont="1"/>
    <xf numFmtId="3" fontId="27" fillId="16" borderId="0" xfId="0" applyNumberFormat="1" applyFont="1" applyFill="1"/>
    <xf numFmtId="2" fontId="27" fillId="16" borderId="0" xfId="0" applyNumberFormat="1" applyFont="1" applyFill="1"/>
    <xf numFmtId="0" fontId="0" fillId="9" borderId="0" xfId="0" applyFill="1" applyAlignment="1">
      <alignment vertical="top" wrapText="1"/>
    </xf>
    <xf numFmtId="3" fontId="47" fillId="9" borderId="27" xfId="0" applyNumberFormat="1" applyFont="1" applyFill="1" applyBorder="1" applyAlignment="1">
      <alignment horizontal="left" vertical="center" wrapText="1"/>
    </xf>
    <xf numFmtId="0" fontId="17" fillId="9" borderId="3" xfId="12" applyFill="1" applyBorder="1" applyAlignment="1" applyProtection="1">
      <alignment horizontal="left" vertical="center" indent="1"/>
      <protection locked="0"/>
    </xf>
    <xf numFmtId="0" fontId="86" fillId="0" borderId="0" xfId="0" applyFont="1" applyAlignment="1">
      <alignment vertical="center"/>
    </xf>
    <xf numFmtId="0" fontId="87" fillId="0" borderId="0" xfId="0" applyFont="1" applyAlignment="1">
      <alignment vertical="center"/>
    </xf>
    <xf numFmtId="3" fontId="44" fillId="13" borderId="0" xfId="0" applyNumberFormat="1" applyFont="1" applyFill="1" applyAlignment="1">
      <alignment horizontal="right" vertical="center" wrapText="1"/>
    </xf>
    <xf numFmtId="0" fontId="41" fillId="12" borderId="17" xfId="0" applyFont="1" applyFill="1" applyBorder="1" applyAlignment="1">
      <alignment horizontal="left" vertical="center" wrapText="1"/>
    </xf>
    <xf numFmtId="0" fontId="49" fillId="14" borderId="0" xfId="0" applyFont="1" applyFill="1" applyAlignment="1">
      <alignment horizontal="right" vertical="center" wrapText="1"/>
    </xf>
    <xf numFmtId="0" fontId="49" fillId="14" borderId="36" xfId="0" applyFont="1" applyFill="1" applyBorder="1" applyAlignment="1">
      <alignment horizontal="right" vertical="center" wrapText="1"/>
    </xf>
    <xf numFmtId="0" fontId="49" fillId="12" borderId="0" xfId="0" applyFont="1" applyFill="1" applyAlignment="1">
      <alignment horizontal="center" vertical="center" wrapText="1"/>
    </xf>
    <xf numFmtId="0" fontId="49" fillId="12" borderId="0" xfId="0" applyFont="1" applyFill="1" applyAlignment="1">
      <alignment horizontal="center" vertical="center" textRotation="90" wrapText="1"/>
    </xf>
    <xf numFmtId="0" fontId="0" fillId="0" borderId="0" xfId="0" applyAlignment="1">
      <alignment wrapText="1"/>
    </xf>
    <xf numFmtId="0" fontId="0" fillId="8" borderId="0" xfId="0" applyFill="1" applyAlignment="1">
      <alignment wrapText="1"/>
    </xf>
    <xf numFmtId="0" fontId="0" fillId="7" borderId="0" xfId="0" applyFill="1" applyAlignment="1">
      <alignment wrapText="1"/>
    </xf>
    <xf numFmtId="0" fontId="0" fillId="0" borderId="91" xfId="0" applyBorder="1" applyAlignment="1">
      <alignment wrapText="1"/>
    </xf>
    <xf numFmtId="0" fontId="77" fillId="0" borderId="0" xfId="0" applyFont="1" applyAlignment="1">
      <alignment wrapText="1"/>
    </xf>
    <xf numFmtId="0" fontId="0" fillId="18" borderId="91" xfId="0" applyFill="1" applyBorder="1" applyAlignment="1">
      <alignment wrapText="1"/>
    </xf>
    <xf numFmtId="0" fontId="0" fillId="18" borderId="80" xfId="0" applyFill="1" applyBorder="1" applyAlignment="1">
      <alignment wrapText="1"/>
    </xf>
    <xf numFmtId="0" fontId="0" fillId="10" borderId="91" xfId="0" applyFill="1" applyBorder="1" applyAlignment="1">
      <alignment wrapText="1"/>
    </xf>
    <xf numFmtId="0" fontId="0" fillId="0" borderId="80" xfId="0" applyBorder="1" applyAlignment="1">
      <alignment wrapText="1"/>
    </xf>
    <xf numFmtId="0" fontId="12" fillId="0" borderId="91" xfId="0" applyFont="1" applyBorder="1" applyAlignment="1">
      <alignment wrapText="1"/>
    </xf>
    <xf numFmtId="0" fontId="20" fillId="0" borderId="91" xfId="0" applyFont="1" applyBorder="1" applyAlignment="1">
      <alignment wrapText="1"/>
    </xf>
    <xf numFmtId="0" fontId="20" fillId="0" borderId="80" xfId="0" applyFont="1" applyBorder="1" applyAlignment="1">
      <alignment wrapText="1"/>
    </xf>
    <xf numFmtId="0" fontId="12" fillId="0" borderId="80" xfId="0" applyFont="1" applyBorder="1" applyAlignment="1">
      <alignment wrapText="1"/>
    </xf>
    <xf numFmtId="0" fontId="0" fillId="0" borderId="80" xfId="0" applyBorder="1" applyAlignment="1">
      <alignment vertical="top" wrapText="1"/>
    </xf>
    <xf numFmtId="0" fontId="65" fillId="0" borderId="0" xfId="0" applyFont="1" applyAlignment="1">
      <alignment wrapText="1"/>
    </xf>
    <xf numFmtId="0" fontId="16" fillId="0" borderId="91" xfId="0" applyFont="1" applyBorder="1" applyAlignment="1">
      <alignment wrapText="1"/>
    </xf>
    <xf numFmtId="0" fontId="16" fillId="10" borderId="91" xfId="0" applyFont="1" applyFill="1" applyBorder="1" applyAlignment="1">
      <alignment wrapText="1"/>
    </xf>
    <xf numFmtId="0" fontId="9" fillId="0" borderId="91" xfId="0" applyFont="1" applyBorder="1" applyAlignment="1">
      <alignment wrapText="1"/>
    </xf>
    <xf numFmtId="0" fontId="14" fillId="0" borderId="91" xfId="0" applyFont="1" applyBorder="1" applyAlignment="1">
      <alignment wrapText="1"/>
    </xf>
    <xf numFmtId="0" fontId="0" fillId="15" borderId="0" xfId="0" applyFill="1" applyAlignment="1">
      <alignment wrapText="1"/>
    </xf>
    <xf numFmtId="0" fontId="63" fillId="19" borderId="91" xfId="0" applyFont="1" applyFill="1" applyBorder="1" applyAlignment="1">
      <alignment wrapText="1"/>
    </xf>
    <xf numFmtId="0" fontId="0" fillId="15" borderId="91" xfId="0" applyFill="1" applyBorder="1" applyAlignment="1">
      <alignment wrapText="1"/>
    </xf>
    <xf numFmtId="0" fontId="0" fillId="20" borderId="91" xfId="0" applyFill="1" applyBorder="1" applyAlignment="1">
      <alignment wrapText="1"/>
    </xf>
    <xf numFmtId="0" fontId="0" fillId="19" borderId="91" xfId="0" applyFill="1" applyBorder="1" applyAlignment="1">
      <alignment wrapText="1"/>
    </xf>
    <xf numFmtId="0" fontId="65" fillId="7" borderId="0" xfId="0" applyFont="1" applyFill="1" applyAlignment="1">
      <alignment wrapText="1"/>
    </xf>
    <xf numFmtId="0" fontId="1" fillId="0" borderId="91" xfId="0" applyFont="1" applyBorder="1" applyAlignment="1">
      <alignment wrapText="1"/>
    </xf>
    <xf numFmtId="0" fontId="1" fillId="0" borderId="80" xfId="0" applyFont="1" applyBorder="1" applyAlignment="1">
      <alignment wrapText="1"/>
    </xf>
    <xf numFmtId="0" fontId="79" fillId="0" borderId="91" xfId="0" applyFont="1" applyBorder="1" applyAlignment="1">
      <alignment wrapText="1"/>
    </xf>
    <xf numFmtId="0" fontId="77" fillId="0" borderId="80" xfId="0" applyFont="1" applyBorder="1" applyAlignment="1">
      <alignment wrapText="1"/>
    </xf>
    <xf numFmtId="0" fontId="12" fillId="9" borderId="58" xfId="0" applyFont="1" applyFill="1" applyBorder="1" applyAlignment="1">
      <alignment vertical="center" wrapText="1"/>
    </xf>
    <xf numFmtId="0" fontId="12" fillId="9" borderId="0" xfId="0" applyFont="1" applyFill="1" applyAlignment="1">
      <alignment vertical="center" wrapText="1"/>
    </xf>
    <xf numFmtId="0" fontId="12" fillId="9" borderId="59" xfId="0" applyFont="1" applyFill="1" applyBorder="1" applyAlignment="1">
      <alignment vertical="center" wrapText="1"/>
    </xf>
    <xf numFmtId="0" fontId="12" fillId="9" borderId="60" xfId="0" applyFont="1" applyFill="1" applyBorder="1" applyAlignment="1">
      <alignment vertical="center" wrapText="1"/>
    </xf>
    <xf numFmtId="0" fontId="27" fillId="9" borderId="60" xfId="0" applyFont="1" applyFill="1" applyBorder="1" applyAlignment="1">
      <alignment vertical="center" wrapText="1"/>
    </xf>
    <xf numFmtId="0" fontId="12" fillId="10" borderId="60" xfId="0" applyFont="1" applyFill="1" applyBorder="1" applyAlignment="1">
      <alignment vertical="center" wrapText="1"/>
    </xf>
    <xf numFmtId="0" fontId="80" fillId="9" borderId="60" xfId="0" applyFont="1" applyFill="1" applyBorder="1" applyAlignment="1">
      <alignment vertical="center" wrapText="1"/>
    </xf>
    <xf numFmtId="0" fontId="81" fillId="9" borderId="60" xfId="0" applyFont="1" applyFill="1" applyBorder="1" applyAlignment="1">
      <alignment vertical="center" wrapText="1"/>
    </xf>
    <xf numFmtId="0" fontId="12" fillId="9" borderId="61" xfId="0" applyFont="1" applyFill="1" applyBorder="1" applyAlignment="1">
      <alignment vertical="center" wrapText="1"/>
    </xf>
    <xf numFmtId="0" fontId="82" fillId="0" borderId="0" xfId="0" applyFont="1" applyAlignment="1">
      <alignment horizontal="left" vertical="center" indent="1"/>
    </xf>
    <xf numFmtId="0" fontId="27" fillId="10" borderId="0" xfId="0" applyFont="1" applyFill="1" applyAlignment="1">
      <alignment horizontal="left"/>
    </xf>
    <xf numFmtId="49" fontId="83" fillId="0" borderId="0" xfId="0" applyNumberFormat="1" applyFont="1" applyAlignment="1">
      <alignment vertical="top"/>
    </xf>
    <xf numFmtId="0" fontId="27" fillId="0" borderId="0" xfId="0" applyFont="1" applyAlignment="1">
      <alignment horizontal="left"/>
    </xf>
    <xf numFmtId="164" fontId="14" fillId="9" borderId="57" xfId="0" applyNumberFormat="1" applyFont="1" applyFill="1" applyBorder="1" applyAlignment="1">
      <alignment horizontal="center" vertical="center"/>
    </xf>
    <xf numFmtId="164" fontId="22" fillId="12" borderId="57" xfId="0" applyNumberFormat="1" applyFont="1" applyFill="1" applyBorder="1" applyAlignment="1">
      <alignment horizontal="center" vertical="center"/>
    </xf>
    <xf numFmtId="3" fontId="73" fillId="12" borderId="30" xfId="0" applyNumberFormat="1" applyFont="1" applyFill="1" applyBorder="1" applyAlignment="1">
      <alignment horizontal="center" vertical="center" wrapText="1"/>
    </xf>
    <xf numFmtId="0" fontId="22" fillId="12" borderId="3" xfId="0" applyFont="1" applyFill="1" applyBorder="1" applyAlignment="1">
      <alignment vertical="center"/>
    </xf>
    <xf numFmtId="0" fontId="22" fillId="12" borderId="3" xfId="0" applyFont="1" applyFill="1" applyBorder="1" applyAlignment="1">
      <alignment horizontal="center" vertical="center"/>
    </xf>
    <xf numFmtId="164" fontId="89" fillId="0" borderId="0" xfId="16" applyFont="1" applyFill="1" applyBorder="1" applyAlignment="1" applyProtection="1">
      <alignment vertical="center"/>
    </xf>
    <xf numFmtId="0" fontId="13" fillId="9" borderId="0" xfId="0" applyFont="1" applyFill="1" applyAlignment="1">
      <alignment horizontal="center" vertical="top"/>
    </xf>
    <xf numFmtId="0" fontId="16" fillId="9" borderId="0" xfId="0" applyFont="1" applyFill="1" applyAlignment="1">
      <alignment horizontal="center" vertical="center"/>
    </xf>
    <xf numFmtId="0" fontId="37" fillId="12" borderId="3" xfId="0" applyFont="1" applyFill="1" applyBorder="1" applyAlignment="1">
      <alignment horizontal="center" vertical="center"/>
    </xf>
    <xf numFmtId="0" fontId="38" fillId="0" borderId="3" xfId="0" applyFont="1" applyBorder="1" applyAlignment="1">
      <alignment horizontal="center" vertical="center"/>
    </xf>
    <xf numFmtId="1" fontId="0" fillId="0" borderId="0" xfId="0" applyNumberFormat="1" applyAlignment="1">
      <alignment vertical="center"/>
    </xf>
    <xf numFmtId="165" fontId="22" fillId="12" borderId="3" xfId="0" applyNumberFormat="1" applyFont="1" applyFill="1" applyBorder="1" applyAlignment="1" applyProtection="1">
      <alignment horizontal="center" vertical="center"/>
      <protection locked="0"/>
    </xf>
    <xf numFmtId="0" fontId="90" fillId="0" borderId="0" xfId="0" applyFont="1"/>
    <xf numFmtId="0" fontId="90" fillId="0" borderId="0" xfId="0" applyFont="1" applyAlignment="1">
      <alignment vertical="center"/>
    </xf>
    <xf numFmtId="0" fontId="90" fillId="22" borderId="112" xfId="0" applyFont="1" applyFill="1" applyBorder="1" applyAlignment="1">
      <alignment vertical="center"/>
    </xf>
    <xf numFmtId="0" fontId="90" fillId="22" borderId="113" xfId="0" applyFont="1" applyFill="1" applyBorder="1" applyAlignment="1">
      <alignment vertical="center"/>
    </xf>
    <xf numFmtId="0" fontId="90" fillId="0" borderId="112" xfId="0" applyFont="1" applyBorder="1" applyAlignment="1">
      <alignment vertical="center"/>
    </xf>
    <xf numFmtId="0" fontId="90" fillId="0" borderId="113" xfId="0" applyFont="1" applyBorder="1" applyAlignment="1">
      <alignment vertical="center"/>
    </xf>
    <xf numFmtId="0" fontId="90" fillId="0" borderId="113" xfId="0" applyFont="1" applyBorder="1" applyAlignment="1">
      <alignment vertical="center" wrapText="1"/>
    </xf>
    <xf numFmtId="165" fontId="16" fillId="9" borderId="56" xfId="0" applyNumberFormat="1" applyFont="1" applyFill="1" applyBorder="1" applyAlignment="1">
      <alignment horizontal="right" vertical="center"/>
    </xf>
    <xf numFmtId="165" fontId="35" fillId="9" borderId="8" xfId="0" applyNumberFormat="1" applyFont="1" applyFill="1" applyBorder="1" applyAlignment="1">
      <alignment horizontal="center" vertical="center"/>
    </xf>
    <xf numFmtId="0" fontId="91" fillId="0" borderId="0" xfId="0" applyFont="1" applyAlignment="1">
      <alignment vertical="center"/>
    </xf>
    <xf numFmtId="0" fontId="93" fillId="21" borderId="0" xfId="0" applyFont="1" applyFill="1" applyAlignment="1">
      <alignment vertical="center" wrapText="1"/>
    </xf>
    <xf numFmtId="49" fontId="14" fillId="9" borderId="0" xfId="0" applyNumberFormat="1" applyFont="1" applyFill="1" applyAlignment="1">
      <alignment vertical="center"/>
    </xf>
    <xf numFmtId="49" fontId="90" fillId="0" borderId="112" xfId="0" applyNumberFormat="1" applyFont="1" applyBorder="1" applyAlignment="1">
      <alignment vertical="center"/>
    </xf>
    <xf numFmtId="0" fontId="15" fillId="9" borderId="0" xfId="0" applyFont="1" applyFill="1" applyAlignment="1">
      <alignment horizontal="left" vertical="center"/>
    </xf>
    <xf numFmtId="0" fontId="16" fillId="9" borderId="0" xfId="0" applyFont="1" applyFill="1" applyAlignment="1">
      <alignment horizontal="left" vertical="center" wrapText="1"/>
    </xf>
    <xf numFmtId="0" fontId="14" fillId="9" borderId="0" xfId="0" applyFont="1" applyFill="1" applyAlignment="1">
      <alignment horizontal="left" vertical="center"/>
    </xf>
    <xf numFmtId="0" fontId="14" fillId="0" borderId="0" xfId="0" applyFont="1" applyAlignment="1">
      <alignment horizontal="left" vertical="center"/>
    </xf>
    <xf numFmtId="0" fontId="14" fillId="9" borderId="0" xfId="0" applyFont="1" applyFill="1" applyAlignment="1">
      <alignment horizontal="left" vertical="center" wrapText="1"/>
    </xf>
    <xf numFmtId="0" fontId="14" fillId="0" borderId="0" xfId="0" applyFont="1" applyAlignment="1">
      <alignment horizontal="left" vertical="center" wrapText="1"/>
    </xf>
    <xf numFmtId="0" fontId="18" fillId="9" borderId="0" xfId="12" applyNumberFormat="1" applyFont="1" applyFill="1" applyBorder="1" applyAlignment="1" applyProtection="1">
      <alignment horizontal="left" vertical="center" wrapText="1"/>
    </xf>
    <xf numFmtId="0" fontId="21" fillId="9" borderId="3" xfId="0" applyFont="1" applyFill="1" applyBorder="1" applyAlignment="1">
      <alignment horizontal="left" vertical="center"/>
    </xf>
    <xf numFmtId="0" fontId="16" fillId="9" borderId="2" xfId="0" applyFont="1" applyFill="1" applyBorder="1" applyAlignment="1">
      <alignment horizontal="left" vertical="center"/>
    </xf>
    <xf numFmtId="0" fontId="22" fillId="17" borderId="0" xfId="0" applyFont="1" applyFill="1" applyAlignment="1">
      <alignment horizontal="left" vertical="center"/>
    </xf>
    <xf numFmtId="0" fontId="19" fillId="0" borderId="0" xfId="0" applyFont="1"/>
    <xf numFmtId="0" fontId="18" fillId="9" borderId="0" xfId="0" applyFont="1" applyFill="1" applyAlignment="1">
      <alignment horizontal="right" vertical="top" wrapText="1"/>
    </xf>
    <xf numFmtId="0" fontId="18" fillId="9" borderId="0" xfId="12" applyNumberFormat="1" applyFont="1" applyFill="1" applyBorder="1" applyAlignment="1" applyProtection="1">
      <alignment horizontal="left" vertical="top" wrapText="1"/>
    </xf>
    <xf numFmtId="0" fontId="88" fillId="21" borderId="110" xfId="0" applyFont="1" applyFill="1" applyBorder="1" applyAlignment="1" applyProtection="1">
      <alignment horizontal="left" vertical="center"/>
      <protection locked="0"/>
    </xf>
    <xf numFmtId="0" fontId="88" fillId="21" borderId="111" xfId="0" applyFont="1" applyFill="1" applyBorder="1" applyAlignment="1" applyProtection="1">
      <alignment horizontal="left" vertical="center"/>
      <protection locked="0"/>
    </xf>
    <xf numFmtId="0" fontId="13" fillId="9" borderId="0" xfId="0" applyFont="1" applyFill="1"/>
    <xf numFmtId="0" fontId="16" fillId="9" borderId="0" xfId="0" applyFont="1" applyFill="1" applyAlignment="1">
      <alignment horizontal="left" vertical="top" wrapText="1"/>
    </xf>
    <xf numFmtId="0" fontId="13" fillId="9" borderId="0" xfId="0" applyFont="1" applyFill="1" applyAlignment="1">
      <alignment horizontal="left" vertical="center"/>
    </xf>
    <xf numFmtId="0" fontId="16" fillId="15" borderId="0" xfId="0" applyFont="1" applyFill="1" applyAlignment="1">
      <alignment horizontal="left" vertical="center" wrapText="1"/>
    </xf>
    <xf numFmtId="0" fontId="12" fillId="9" borderId="9" xfId="0" applyFont="1" applyFill="1" applyBorder="1" applyAlignment="1">
      <alignment horizontal="left" vertical="center"/>
    </xf>
    <xf numFmtId="0" fontId="12" fillId="9" borderId="8" xfId="0" applyFont="1" applyFill="1" applyBorder="1" applyAlignment="1">
      <alignment horizontal="left" vertical="center"/>
    </xf>
    <xf numFmtId="164" fontId="22" fillId="11" borderId="94" xfId="0" applyNumberFormat="1" applyFont="1" applyFill="1" applyBorder="1" applyAlignment="1">
      <alignment horizontal="center" vertical="center"/>
    </xf>
    <xf numFmtId="0" fontId="22" fillId="11" borderId="0" xfId="0" applyFont="1" applyFill="1" applyAlignment="1">
      <alignment horizontal="left" vertical="center" indent="1"/>
    </xf>
    <xf numFmtId="164" fontId="22" fillId="11" borderId="0" xfId="0" applyNumberFormat="1" applyFont="1" applyFill="1" applyAlignment="1">
      <alignment horizontal="center" vertical="center"/>
    </xf>
    <xf numFmtId="1" fontId="22" fillId="11" borderId="0" xfId="0" applyNumberFormat="1" applyFont="1" applyFill="1" applyAlignment="1">
      <alignment horizontal="center" vertical="center"/>
    </xf>
    <xf numFmtId="0" fontId="27" fillId="9" borderId="0" xfId="0" applyFont="1" applyFill="1" applyAlignment="1">
      <alignment horizontal="right"/>
    </xf>
    <xf numFmtId="0" fontId="13" fillId="9" borderId="0" xfId="0" applyFont="1" applyFill="1" applyAlignment="1">
      <alignment horizontal="left" vertical="top"/>
    </xf>
    <xf numFmtId="0" fontId="14" fillId="9" borderId="92" xfId="0" applyFont="1" applyFill="1" applyBorder="1" applyAlignment="1">
      <alignment horizontal="left" vertical="center" indent="1"/>
    </xf>
    <xf numFmtId="164" fontId="14" fillId="9" borderId="93" xfId="0" applyNumberFormat="1" applyFont="1" applyFill="1" applyBorder="1" applyAlignment="1">
      <alignment horizontal="center" vertical="center"/>
    </xf>
    <xf numFmtId="1" fontId="14" fillId="9" borderId="93" xfId="0" applyNumberFormat="1" applyFont="1" applyFill="1" applyBorder="1" applyAlignment="1">
      <alignment horizontal="center" vertical="center"/>
    </xf>
    <xf numFmtId="1" fontId="14" fillId="9" borderId="87" xfId="0" applyNumberFormat="1" applyFont="1" applyFill="1" applyBorder="1" applyAlignment="1">
      <alignment horizontal="center" vertical="center"/>
    </xf>
    <xf numFmtId="0" fontId="16" fillId="9" borderId="0" xfId="0" applyFont="1" applyFill="1" applyAlignment="1">
      <alignment horizontal="left" vertical="center"/>
    </xf>
    <xf numFmtId="0" fontId="49" fillId="12" borderId="0" xfId="0" applyFont="1" applyFill="1" applyAlignment="1">
      <alignment horizontal="center" vertical="center" wrapText="1"/>
    </xf>
    <xf numFmtId="0" fontId="40" fillId="0" borderId="12" xfId="0" applyFont="1" applyBorder="1" applyAlignment="1">
      <alignment horizontal="center" wrapText="1"/>
    </xf>
    <xf numFmtId="0" fontId="49" fillId="12" borderId="0" xfId="0" applyFont="1" applyFill="1" applyAlignment="1">
      <alignment horizontal="center" vertical="center" textRotation="90" wrapText="1"/>
    </xf>
    <xf numFmtId="0" fontId="53" fillId="12" borderId="97" xfId="0" applyFont="1" applyFill="1" applyBorder="1" applyAlignment="1">
      <alignment horizontal="center" vertical="center" wrapText="1"/>
    </xf>
    <xf numFmtId="0" fontId="53" fillId="14" borderId="97" xfId="0" applyFont="1" applyFill="1" applyBorder="1" applyAlignment="1">
      <alignment horizontal="center" vertical="center" wrapText="1"/>
    </xf>
    <xf numFmtId="0" fontId="53" fillId="14" borderId="98" xfId="0" applyFont="1" applyFill="1" applyBorder="1" applyAlignment="1">
      <alignment horizontal="center" vertical="center" wrapText="1"/>
    </xf>
    <xf numFmtId="0" fontId="45" fillId="12" borderId="95" xfId="0" applyFont="1" applyFill="1" applyBorder="1" applyAlignment="1">
      <alignment horizontal="center" vertical="center" wrapText="1"/>
    </xf>
    <xf numFmtId="0" fontId="47" fillId="13" borderId="31" xfId="0" applyFont="1" applyFill="1" applyBorder="1" applyAlignment="1">
      <alignment horizontal="center" vertical="center" textRotation="90" wrapText="1"/>
    </xf>
    <xf numFmtId="1" fontId="47" fillId="13" borderId="95" xfId="0" applyNumberFormat="1" applyFont="1" applyFill="1" applyBorder="1" applyAlignment="1">
      <alignment horizontal="center" vertical="center" textRotation="90" wrapText="1"/>
    </xf>
    <xf numFmtId="0" fontId="53" fillId="12" borderId="19" xfId="0" applyFont="1" applyFill="1" applyBorder="1" applyAlignment="1">
      <alignment horizontal="center" vertical="center" wrapText="1"/>
    </xf>
    <xf numFmtId="0" fontId="53" fillId="14" borderId="20" xfId="0" applyFont="1" applyFill="1" applyBorder="1" applyAlignment="1">
      <alignment horizontal="center" vertical="center" wrapText="1"/>
    </xf>
    <xf numFmtId="0" fontId="53" fillId="14" borderId="21" xfId="0" applyFont="1" applyFill="1" applyBorder="1" applyAlignment="1">
      <alignment horizontal="center" vertical="center" wrapText="1"/>
    </xf>
    <xf numFmtId="0" fontId="49" fillId="14" borderId="99" xfId="0" applyFont="1" applyFill="1" applyBorder="1" applyAlignment="1">
      <alignment horizontal="right" vertical="center" wrapText="1"/>
    </xf>
    <xf numFmtId="0" fontId="45" fillId="12" borderId="31" xfId="0" applyFont="1" applyFill="1" applyBorder="1" applyAlignment="1">
      <alignment horizontal="center" vertical="center" wrapText="1"/>
    </xf>
    <xf numFmtId="0" fontId="53" fillId="12" borderId="96" xfId="0" applyFont="1" applyFill="1" applyBorder="1" applyAlignment="1">
      <alignment horizontal="center" vertical="center" wrapText="1"/>
    </xf>
    <xf numFmtId="0" fontId="53" fillId="12" borderId="20" xfId="0" applyFont="1" applyFill="1" applyBorder="1" applyAlignment="1">
      <alignment horizontal="center" vertical="center" wrapText="1"/>
    </xf>
    <xf numFmtId="0" fontId="49" fillId="14" borderId="36" xfId="0" applyFont="1" applyFill="1" applyBorder="1" applyAlignment="1">
      <alignment horizontal="right" vertical="center" wrapText="1"/>
    </xf>
    <xf numFmtId="0" fontId="49" fillId="14" borderId="0" xfId="0" applyFont="1" applyFill="1" applyAlignment="1">
      <alignment horizontal="right" vertical="center" wrapText="1"/>
    </xf>
    <xf numFmtId="0" fontId="49" fillId="14" borderId="31" xfId="0" applyFont="1" applyFill="1" applyBorder="1" applyAlignment="1">
      <alignment horizontal="right" vertical="center" wrapText="1"/>
    </xf>
    <xf numFmtId="0" fontId="41" fillId="12" borderId="36" xfId="0" applyFont="1" applyFill="1" applyBorder="1" applyAlignment="1">
      <alignment horizontal="right" vertical="center" wrapText="1"/>
    </xf>
    <xf numFmtId="0" fontId="53" fillId="14" borderId="19" xfId="0" applyFont="1" applyFill="1" applyBorder="1" applyAlignment="1">
      <alignment horizontal="center" vertical="center" wrapText="1"/>
    </xf>
    <xf numFmtId="0" fontId="49" fillId="14" borderId="46" xfId="0" applyFont="1" applyFill="1" applyBorder="1" applyAlignment="1">
      <alignment horizontal="center" vertical="center" wrapText="1"/>
    </xf>
    <xf numFmtId="0" fontId="53" fillId="14" borderId="96" xfId="0" applyFont="1" applyFill="1" applyBorder="1" applyAlignment="1">
      <alignment horizontal="center" vertical="center" wrapText="1"/>
    </xf>
    <xf numFmtId="0" fontId="41" fillId="12" borderId="17" xfId="0" applyFont="1" applyFill="1" applyBorder="1" applyAlignment="1">
      <alignment horizontal="left" vertical="center" wrapText="1"/>
    </xf>
    <xf numFmtId="0" fontId="52" fillId="9" borderId="0" xfId="0" applyFont="1" applyFill="1" applyAlignment="1">
      <alignment horizontal="center" vertical="center" wrapText="1"/>
    </xf>
    <xf numFmtId="0" fontId="49" fillId="14" borderId="11" xfId="0" applyFont="1" applyFill="1" applyBorder="1" applyAlignment="1">
      <alignment horizontal="right" vertical="center" wrapText="1"/>
    </xf>
    <xf numFmtId="0" fontId="47" fillId="13" borderId="95" xfId="0" applyFont="1" applyFill="1" applyBorder="1" applyAlignment="1">
      <alignment horizontal="center" vertical="center" textRotation="90" wrapText="1"/>
    </xf>
    <xf numFmtId="0" fontId="45" fillId="12" borderId="0" xfId="0" applyFont="1" applyFill="1" applyAlignment="1">
      <alignment horizontal="center" vertical="center" textRotation="90" wrapText="1"/>
    </xf>
    <xf numFmtId="0" fontId="47" fillId="13" borderId="0" xfId="0" applyFont="1" applyFill="1" applyAlignment="1">
      <alignment horizontal="center" vertical="center" wrapText="1"/>
    </xf>
    <xf numFmtId="3" fontId="48" fillId="0" borderId="86" xfId="0" applyNumberFormat="1" applyFont="1" applyBorder="1" applyAlignment="1">
      <alignment horizontal="center" vertical="center" wrapText="1"/>
    </xf>
    <xf numFmtId="3" fontId="44" fillId="13" borderId="0" xfId="0" applyNumberFormat="1" applyFont="1" applyFill="1" applyAlignment="1">
      <alignment horizontal="right" vertical="center" wrapText="1"/>
    </xf>
    <xf numFmtId="3" fontId="43" fillId="13" borderId="0" xfId="0" applyNumberFormat="1" applyFont="1" applyFill="1" applyAlignment="1">
      <alignment horizontal="left" vertical="top" wrapText="1"/>
    </xf>
    <xf numFmtId="0" fontId="44" fillId="13" borderId="0" xfId="0" applyFont="1" applyFill="1" applyAlignment="1">
      <alignment horizontal="center" vertical="center" textRotation="90" wrapText="1"/>
    </xf>
    <xf numFmtId="0" fontId="63" fillId="12" borderId="102" xfId="0" applyFont="1" applyFill="1" applyBorder="1" applyAlignment="1">
      <alignment horizontal="center" vertical="center" wrapText="1"/>
    </xf>
    <xf numFmtId="0" fontId="64" fillId="9" borderId="103" xfId="14" applyFont="1" applyFill="1" applyBorder="1" applyAlignment="1">
      <alignment horizontal="left" vertical="center" wrapText="1" indent="1"/>
    </xf>
    <xf numFmtId="0" fontId="63" fillId="12" borderId="104" xfId="0" applyFont="1" applyFill="1" applyBorder="1" applyAlignment="1">
      <alignment horizontal="center" vertical="center" wrapText="1"/>
    </xf>
    <xf numFmtId="0" fontId="63" fillId="12" borderId="103" xfId="0" applyFont="1" applyFill="1" applyBorder="1" applyAlignment="1">
      <alignment horizontal="center" vertical="center" wrapText="1"/>
    </xf>
    <xf numFmtId="0" fontId="27" fillId="9" borderId="2" xfId="0" applyFont="1" applyFill="1" applyBorder="1" applyAlignment="1">
      <alignment horizontal="right" vertical="top"/>
    </xf>
    <xf numFmtId="0" fontId="63" fillId="11" borderId="6" xfId="0" applyFont="1" applyFill="1" applyBorder="1" applyAlignment="1">
      <alignment horizontal="center" vertical="center" wrapText="1"/>
    </xf>
    <xf numFmtId="0" fontId="63" fillId="11" borderId="102" xfId="0" applyFont="1" applyFill="1" applyBorder="1" applyAlignment="1">
      <alignment horizontal="center" vertical="center" wrapText="1"/>
    </xf>
    <xf numFmtId="0" fontId="92" fillId="9" borderId="0" xfId="0" applyFont="1" applyFill="1" applyAlignment="1">
      <alignment horizontal="right" vertical="center"/>
    </xf>
    <xf numFmtId="0" fontId="61" fillId="9" borderId="0" xfId="0" applyFont="1" applyFill="1" applyAlignment="1">
      <alignment horizontal="left" vertical="top"/>
    </xf>
    <xf numFmtId="0" fontId="14" fillId="9" borderId="100" xfId="0" applyFont="1" applyFill="1" applyBorder="1" applyAlignment="1">
      <alignment horizontal="right" vertical="center"/>
    </xf>
    <xf numFmtId="1" fontId="14" fillId="9" borderId="2" xfId="0" applyNumberFormat="1" applyFont="1" applyFill="1" applyBorder="1" applyAlignment="1">
      <alignment horizontal="right" vertical="center"/>
    </xf>
    <xf numFmtId="1" fontId="14" fillId="9" borderId="101" xfId="0" applyNumberFormat="1" applyFont="1" applyFill="1" applyBorder="1" applyAlignment="1">
      <alignment horizontal="left" vertical="center"/>
    </xf>
    <xf numFmtId="0" fontId="14" fillId="9" borderId="0" xfId="0" applyFont="1" applyFill="1" applyAlignment="1">
      <alignment horizontal="left" vertical="center" indent="7"/>
    </xf>
    <xf numFmtId="0" fontId="13" fillId="9" borderId="0" xfId="0" applyFont="1" applyFill="1" applyAlignment="1">
      <alignment horizontal="left" indent="7"/>
    </xf>
    <xf numFmtId="0" fontId="65" fillId="9" borderId="0" xfId="0" applyFont="1" applyFill="1" applyAlignment="1">
      <alignment horizontal="left" vertical="center"/>
    </xf>
    <xf numFmtId="0" fontId="0" fillId="9" borderId="0" xfId="0" applyFill="1" applyAlignment="1">
      <alignment horizontal="left" vertical="top" wrapText="1"/>
    </xf>
    <xf numFmtId="1" fontId="22" fillId="12" borderId="1" xfId="0" applyNumberFormat="1" applyFont="1" applyFill="1" applyBorder="1" applyAlignment="1">
      <alignment horizontal="left" vertical="center" indent="1"/>
    </xf>
    <xf numFmtId="0" fontId="27" fillId="0" borderId="0" xfId="0" applyFont="1" applyAlignment="1">
      <alignment horizontal="center" vertical="center" wrapText="1"/>
    </xf>
    <xf numFmtId="0" fontId="63" fillId="11" borderId="13" xfId="0" applyFont="1" applyFill="1" applyBorder="1" applyAlignment="1">
      <alignment horizontal="center" vertical="center" wrapText="1"/>
    </xf>
    <xf numFmtId="0" fontId="71" fillId="0" borderId="105" xfId="0" applyFont="1" applyBorder="1" applyAlignment="1">
      <alignment horizontal="center" vertical="center" wrapText="1"/>
    </xf>
    <xf numFmtId="3" fontId="71" fillId="0" borderId="105" xfId="0" applyNumberFormat="1" applyFont="1" applyBorder="1" applyAlignment="1">
      <alignment horizontal="center" vertical="center" wrapText="1"/>
    </xf>
    <xf numFmtId="3" fontId="71" fillId="12" borderId="12" xfId="0" applyNumberFormat="1" applyFont="1" applyFill="1" applyBorder="1" applyAlignment="1">
      <alignment horizontal="center" vertical="center" wrapText="1"/>
    </xf>
    <xf numFmtId="3" fontId="71" fillId="12" borderId="105" xfId="0" applyNumberFormat="1" applyFont="1" applyFill="1" applyBorder="1" applyAlignment="1">
      <alignment horizontal="center" vertical="center" wrapText="1"/>
    </xf>
    <xf numFmtId="3" fontId="71" fillId="12" borderId="106" xfId="0" applyNumberFormat="1" applyFont="1" applyFill="1" applyBorder="1" applyAlignment="1">
      <alignment horizontal="center" vertical="center" wrapText="1"/>
    </xf>
    <xf numFmtId="0" fontId="71" fillId="0" borderId="107" xfId="0" applyFont="1" applyBorder="1" applyAlignment="1">
      <alignment horizontal="center" vertical="center" wrapText="1"/>
    </xf>
    <xf numFmtId="0" fontId="71" fillId="0" borderId="5" xfId="0" applyFont="1" applyBorder="1" applyAlignment="1">
      <alignment horizontal="center"/>
    </xf>
    <xf numFmtId="0" fontId="69" fillId="12" borderId="108" xfId="0" applyFont="1" applyFill="1" applyBorder="1" applyAlignment="1">
      <alignment horizontal="center" vertical="center" wrapText="1"/>
    </xf>
    <xf numFmtId="0" fontId="69" fillId="12" borderId="12" xfId="0" applyFont="1" applyFill="1" applyBorder="1" applyAlignment="1">
      <alignment horizontal="center" vertical="center" wrapText="1"/>
    </xf>
    <xf numFmtId="3" fontId="71" fillId="12" borderId="109" xfId="0" applyNumberFormat="1" applyFont="1" applyFill="1" applyBorder="1" applyAlignment="1">
      <alignment horizontal="center" vertical="center" wrapText="1"/>
    </xf>
    <xf numFmtId="3" fontId="71" fillId="0" borderId="81" xfId="0" applyNumberFormat="1" applyFont="1" applyBorder="1" applyAlignment="1">
      <alignment horizontal="center" vertical="center" wrapText="1"/>
    </xf>
    <xf numFmtId="0" fontId="75" fillId="15" borderId="30" xfId="0" applyFont="1" applyFill="1" applyBorder="1" applyAlignment="1">
      <alignment horizontal="center"/>
    </xf>
  </cellXfs>
  <cellStyles count="21">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Komma" xfId="13" builtinId="3"/>
    <cellStyle name="Link" xfId="12" builtinId="8"/>
    <cellStyle name="Normal_4. Bilanz Testat" xfId="14" xr:uid="{00000000-0005-0000-0000-00000D000000}"/>
    <cellStyle name="Note 1" xfId="15" xr:uid="{00000000-0005-0000-0000-00000E000000}"/>
    <cellStyle name="Prozent" xfId="16" builtinId="5"/>
    <cellStyle name="Standard" xfId="0" builtinId="0"/>
    <cellStyle name="Standard 2" xfId="17" xr:uid="{00000000-0005-0000-0000-000011000000}"/>
    <cellStyle name="Status 1" xfId="18" xr:uid="{00000000-0005-0000-0000-000012000000}"/>
    <cellStyle name="Text 1" xfId="19" xr:uid="{00000000-0005-0000-0000-000013000000}"/>
    <cellStyle name="Warning 1" xfId="20" xr:uid="{00000000-0005-0000-0000-000014000000}"/>
  </cellStyles>
  <dxfs count="28">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theme="0"/>
      </font>
      <fill>
        <patternFill patternType="none">
          <bgColor auto="1"/>
        </patternFill>
      </fill>
    </dxf>
    <dxf>
      <font>
        <color rgb="FFF20884"/>
      </font>
      <fill>
        <patternFill>
          <bgColor rgb="FFFF99CC"/>
        </patternFill>
      </fill>
    </dxf>
    <dxf>
      <font>
        <color rgb="FFF20884"/>
      </font>
      <fill>
        <patternFill>
          <bgColor rgb="FFFF99CC"/>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4EE257"/>
      <rgbColor rgb="000000D4"/>
      <rgbColor rgb="00FFFF00"/>
      <rgbColor rgb="00F20884"/>
      <rgbColor rgb="0000FFFF"/>
      <rgbColor rgb="00CC0000"/>
      <rgbColor rgb="00008000"/>
      <rgbColor rgb="00000080"/>
      <rgbColor rgb="00979700"/>
      <rgbColor rgb="00800080"/>
      <rgbColor rgb="00008080"/>
      <rgbColor rgb="00C0C0C0"/>
      <rgbColor rgb="00808080"/>
      <rgbColor rgb="00A6A6A6"/>
      <rgbColor rgb="0090713A"/>
      <rgbColor rgb="00FFFFCC"/>
      <rgbColor rgb="00E6E6E6"/>
      <rgbColor rgb="00660066"/>
      <rgbColor rgb="00EB613D"/>
      <rgbColor rgb="000066CC"/>
      <rgbColor rgb="00DDDDDD"/>
      <rgbColor rgb="00000080"/>
      <rgbColor rgb="00FF00FF"/>
      <rgbColor rgb="00FCF305"/>
      <rgbColor rgb="0000FFFF"/>
      <rgbColor rgb="00800080"/>
      <rgbColor rgb="00800000"/>
      <rgbColor rgb="00008080"/>
      <rgbColor rgb="000000FF"/>
      <rgbColor rgb="0000CCFF"/>
      <rgbColor rgb="00CCFFFF"/>
      <rgbColor rgb="00CCFFCC"/>
      <rgbColor rgb="00FFCCCC"/>
      <rgbColor rgb="00A2BD90"/>
      <rgbColor rgb="00FF99CC"/>
      <rgbColor rgb="00CC99FF"/>
      <rgbColor rgb="00FFCC99"/>
      <rgbColor rgb="003366FF"/>
      <rgbColor rgb="0033CC66"/>
      <rgbColor rgb="0099CC00"/>
      <rgbColor rgb="00CCCC00"/>
      <rgbColor rgb="00FF9900"/>
      <rgbColor rgb="00FF6600"/>
      <rgbColor rgb="00666699"/>
      <rgbColor rgb="00969696"/>
      <rgbColor rgb="00003366"/>
      <rgbColor rgb="00669999"/>
      <rgbColor rgb="00006600"/>
      <rgbColor rgb="00333300"/>
      <rgbColor rgb="00DD0806"/>
      <rgbColor rgb="00993366"/>
      <rgbColor rgb="00404040"/>
      <rgbColor rgb="00333333"/>
    </indexedColors>
    <mruColors>
      <color rgb="FFFF99CC"/>
      <color rgb="FFF20884"/>
      <color rgb="FF99CC00"/>
      <color rgb="FF333333"/>
      <color rgb="FF808080"/>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851383395949407"/>
          <c:y val="0.33861973135710977"/>
          <c:w val="0.22133711877564599"/>
          <c:h val="0.3209749884205651"/>
        </c:manualLayout>
      </c:layout>
      <c:radarChart>
        <c:radarStyle val="filled"/>
        <c:varyColors val="0"/>
        <c:ser>
          <c:idx val="0"/>
          <c:order val="0"/>
          <c:spPr>
            <a:solidFill>
              <a:srgbClr val="669999"/>
            </a:solidFill>
            <a:ln w="38100">
              <a:solidFill>
                <a:srgbClr val="666699"/>
              </a:solidFill>
              <a:prstDash val="solid"/>
            </a:ln>
          </c:spPr>
          <c:cat>
            <c:strRef>
              <c:f>'5. Values'!$B$18:$B$21</c:f>
              <c:strCache>
                <c:ptCount val="4"/>
                <c:pt idx="0">
                  <c:v>Menschenwürde</c:v>
                </c:pt>
                <c:pt idx="1">
                  <c:v>Solidarität &amp; Gerechtigkeit</c:v>
                </c:pt>
                <c:pt idx="2">
                  <c:v>Ökologische Nachhaltigkeit</c:v>
                </c:pt>
                <c:pt idx="3">
                  <c:v>Transparenz &amp; Mitentscheidung</c:v>
                </c:pt>
              </c:strCache>
            </c:strRef>
          </c:cat>
          <c:val>
            <c:numRef>
              <c:f>'5. Values'!$G$18:$G$21</c:f>
              <c:numCache>
                <c:formatCode>0\ %</c:formatCode>
                <c:ptCount val="4"/>
                <c:pt idx="0">
                  <c:v>0</c:v>
                </c:pt>
                <c:pt idx="1">
                  <c:v>0</c:v>
                </c:pt>
                <c:pt idx="2">
                  <c:v>0</c:v>
                </c:pt>
                <c:pt idx="3">
                  <c:v>0</c:v>
                </c:pt>
              </c:numCache>
            </c:numRef>
          </c:val>
          <c:extLst>
            <c:ext xmlns:c16="http://schemas.microsoft.com/office/drawing/2014/chart" uri="{C3380CC4-5D6E-409C-BE32-E72D297353CC}">
              <c16:uniqueId val="{00000000-FE96-4AB8-9E25-98924EDABE32}"/>
            </c:ext>
          </c:extLst>
        </c:ser>
        <c:dLbls>
          <c:showLegendKey val="0"/>
          <c:showVal val="0"/>
          <c:showCatName val="0"/>
          <c:showSerName val="0"/>
          <c:showPercent val="0"/>
          <c:showBubbleSize val="0"/>
        </c:dLbls>
        <c:axId val="458780312"/>
        <c:axId val="1"/>
      </c:radarChart>
      <c:catAx>
        <c:axId val="45878031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031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14308695284049"/>
          <c:y val="0.37536971277283154"/>
          <c:w val="0.23138819744306155"/>
          <c:h val="0.31255050635010495"/>
        </c:manualLayout>
      </c:layout>
      <c:radarChart>
        <c:radarStyle val="filled"/>
        <c:varyColors val="0"/>
        <c:ser>
          <c:idx val="0"/>
          <c:order val="0"/>
          <c:spPr>
            <a:solidFill>
              <a:srgbClr val="669999"/>
            </a:solidFill>
            <a:ln w="38100">
              <a:solidFill>
                <a:srgbClr val="666699"/>
              </a:solidFill>
              <a:prstDash val="solid"/>
            </a:ln>
          </c:spPr>
          <c:cat>
            <c:strRef>
              <c:f>'6. Stakeholder'!$B$18:$B$22</c:f>
              <c:strCache>
                <c:ptCount val="5"/>
                <c:pt idx="0">
                  <c:v>Lieferant*innen</c:v>
                </c:pt>
                <c:pt idx="1">
                  <c:v>Eigentümer*innen und Finanzpartner*innen</c:v>
                </c:pt>
                <c:pt idx="2">
                  <c:v>Mitarbeitende</c:v>
                </c:pt>
                <c:pt idx="3">
                  <c:v>Kund*nnen und Mitunternehmen</c:v>
                </c:pt>
                <c:pt idx="4">
                  <c:v>Gesellschaftliches Umfeld</c:v>
                </c:pt>
              </c:strCache>
            </c:strRef>
          </c:cat>
          <c:val>
            <c:numRef>
              <c:f>'6. Stakeholder'!$G$18:$G$22</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0-6F2B-446B-BA7C-3D4A23E8319A}"/>
            </c:ext>
          </c:extLst>
        </c:ser>
        <c:dLbls>
          <c:showLegendKey val="0"/>
          <c:showVal val="0"/>
          <c:showCatName val="0"/>
          <c:showSerName val="0"/>
          <c:showPercent val="0"/>
          <c:showBubbleSize val="0"/>
        </c:dLbls>
        <c:axId val="458784248"/>
        <c:axId val="1"/>
      </c:radarChart>
      <c:catAx>
        <c:axId val="458784248"/>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4248"/>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5564064217373"/>
          <c:y val="0.23730376022051899"/>
          <c:w val="0.40358492945818841"/>
          <c:h val="0.52102397096965536"/>
        </c:manualLayout>
      </c:layout>
      <c:radarChart>
        <c:radarStyle val="filled"/>
        <c:varyColors val="0"/>
        <c:ser>
          <c:idx val="0"/>
          <c:order val="0"/>
          <c:spPr>
            <a:solidFill>
              <a:srgbClr val="669999"/>
            </a:solidFill>
            <a:ln w="38100">
              <a:solidFill>
                <a:srgbClr val="666699"/>
              </a:solidFill>
              <a:prstDash val="solid"/>
            </a:ln>
          </c:spPr>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0\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4E5-4FBF-B775-D806AEE7E715}"/>
            </c:ext>
          </c:extLst>
        </c:ser>
        <c:dLbls>
          <c:showLegendKey val="0"/>
          <c:showVal val="0"/>
          <c:showCatName val="0"/>
          <c:showSerName val="0"/>
          <c:showPercent val="0"/>
          <c:showBubbleSize val="0"/>
        </c:dLbls>
        <c:axId val="458783592"/>
        <c:axId val="1"/>
      </c:radarChart>
      <c:catAx>
        <c:axId val="45878359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de-DE"/>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359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1409700</xdr:colOff>
      <xdr:row>0</xdr:row>
      <xdr:rowOff>0</xdr:rowOff>
    </xdr:from>
    <xdr:to>
      <xdr:col>3</xdr:col>
      <xdr:colOff>4429125</xdr:colOff>
      <xdr:row>2</xdr:row>
      <xdr:rowOff>28575</xdr:rowOff>
    </xdr:to>
    <xdr:pic>
      <xdr:nvPicPr>
        <xdr:cNvPr id="1076" name="Picture 44" descr="ECG_EN-screen.png">
          <a:extLst>
            <a:ext uri="{FF2B5EF4-FFF2-40B4-BE49-F238E27FC236}">
              <a16:creationId xmlns:a16="http://schemas.microsoft.com/office/drawing/2014/main" id="{3B6EBDDC-2899-49C1-903B-2934BCC2E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725" y="0"/>
          <a:ext cx="30194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1</xdr:row>
      <xdr:rowOff>66675</xdr:rowOff>
    </xdr:from>
    <xdr:to>
      <xdr:col>18</xdr:col>
      <xdr:colOff>9525</xdr:colOff>
      <xdr:row>5</xdr:row>
      <xdr:rowOff>57150</xdr:rowOff>
    </xdr:to>
    <xdr:pic>
      <xdr:nvPicPr>
        <xdr:cNvPr id="6189" name="Picture 44" descr="ECG_EN-screen.png">
          <a:extLst>
            <a:ext uri="{FF2B5EF4-FFF2-40B4-BE49-F238E27FC236}">
              <a16:creationId xmlns:a16="http://schemas.microsoft.com/office/drawing/2014/main" id="{88B9908D-23DB-4459-AABC-5E74A363C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228600"/>
          <a:ext cx="1866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76200</xdr:rowOff>
    </xdr:from>
    <xdr:to>
      <xdr:col>5</xdr:col>
      <xdr:colOff>857250</xdr:colOff>
      <xdr:row>15</xdr:row>
      <xdr:rowOff>762000</xdr:rowOff>
    </xdr:to>
    <xdr:graphicFrame macro="">
      <xdr:nvGraphicFramePr>
        <xdr:cNvPr id="7257" name="Diagramm 1">
          <a:extLst>
            <a:ext uri="{FF2B5EF4-FFF2-40B4-BE49-F238E27FC236}">
              <a16:creationId xmlns:a16="http://schemas.microsoft.com/office/drawing/2014/main" id="{32BC307D-6986-4055-B611-6424AD698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38100</xdr:rowOff>
    </xdr:from>
    <xdr:to>
      <xdr:col>1</xdr:col>
      <xdr:colOff>504825</xdr:colOff>
      <xdr:row>3</xdr:row>
      <xdr:rowOff>142875</xdr:rowOff>
    </xdr:to>
    <xdr:pic>
      <xdr:nvPicPr>
        <xdr:cNvPr id="7258" name="Grafik 3">
          <a:extLst>
            <a:ext uri="{FF2B5EF4-FFF2-40B4-BE49-F238E27FC236}">
              <a16:creationId xmlns:a16="http://schemas.microsoft.com/office/drawing/2014/main" id="{B45DD9B5-83C2-44E5-B42F-8A0B84A5F8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09550"/>
          <a:ext cx="5048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xdr:row>
      <xdr:rowOff>85724</xdr:rowOff>
    </xdr:from>
    <xdr:to>
      <xdr:col>5</xdr:col>
      <xdr:colOff>977900</xdr:colOff>
      <xdr:row>15</xdr:row>
      <xdr:rowOff>1066799</xdr:rowOff>
    </xdr:to>
    <xdr:graphicFrame macro="">
      <xdr:nvGraphicFramePr>
        <xdr:cNvPr id="8281" name="Diagramm 1">
          <a:extLst>
            <a:ext uri="{FF2B5EF4-FFF2-40B4-BE49-F238E27FC236}">
              <a16:creationId xmlns:a16="http://schemas.microsoft.com/office/drawing/2014/main" id="{F2C3D0E8-CDD8-434A-A274-91F28E011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123825</xdr:rowOff>
    </xdr:from>
    <xdr:to>
      <xdr:col>1</xdr:col>
      <xdr:colOff>438150</xdr:colOff>
      <xdr:row>3</xdr:row>
      <xdr:rowOff>47625</xdr:rowOff>
    </xdr:to>
    <xdr:pic>
      <xdr:nvPicPr>
        <xdr:cNvPr id="8282" name="Grafik 3">
          <a:extLst>
            <a:ext uri="{FF2B5EF4-FFF2-40B4-BE49-F238E27FC236}">
              <a16:creationId xmlns:a16="http://schemas.microsoft.com/office/drawing/2014/main" id="{5A54532D-EF20-4572-990F-49F12801F5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476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123825</xdr:rowOff>
    </xdr:from>
    <xdr:to>
      <xdr:col>1</xdr:col>
      <xdr:colOff>457200</xdr:colOff>
      <xdr:row>3</xdr:row>
      <xdr:rowOff>47625</xdr:rowOff>
    </xdr:to>
    <xdr:pic>
      <xdr:nvPicPr>
        <xdr:cNvPr id="9305" name="Grafik 3">
          <a:extLst>
            <a:ext uri="{FF2B5EF4-FFF2-40B4-BE49-F238E27FC236}">
              <a16:creationId xmlns:a16="http://schemas.microsoft.com/office/drawing/2014/main" id="{6E8BD266-6384-493B-85CA-F60FC4373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5048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38100</xdr:colOff>
      <xdr:row>3</xdr:row>
      <xdr:rowOff>95250</xdr:rowOff>
    </xdr:from>
    <xdr:to>
      <xdr:col>5</xdr:col>
      <xdr:colOff>977900</xdr:colOff>
      <xdr:row>15</xdr:row>
      <xdr:rowOff>1003300</xdr:rowOff>
    </xdr:to>
    <xdr:graphicFrame macro="">
      <xdr:nvGraphicFramePr>
        <xdr:cNvPr id="9306" name="Diagramm 2">
          <a:extLst>
            <a:ext uri="{FF2B5EF4-FFF2-40B4-BE49-F238E27FC236}">
              <a16:creationId xmlns:a16="http://schemas.microsoft.com/office/drawing/2014/main" id="{9DCB01A9-78E4-484D-80CC-9E060F14C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5667375</xdr:colOff>
      <xdr:row>0</xdr:row>
      <xdr:rowOff>152400</xdr:rowOff>
    </xdr:from>
    <xdr:to>
      <xdr:col>2</xdr:col>
      <xdr:colOff>5676900</xdr:colOff>
      <xdr:row>1</xdr:row>
      <xdr:rowOff>152400</xdr:rowOff>
    </xdr:to>
    <xdr:pic>
      <xdr:nvPicPr>
        <xdr:cNvPr id="10285" name="Grafik 3">
          <a:extLst>
            <a:ext uri="{FF2B5EF4-FFF2-40B4-BE49-F238E27FC236}">
              <a16:creationId xmlns:a16="http://schemas.microsoft.com/office/drawing/2014/main" id="{8490B4D7-3507-425D-A341-57203B19E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152400"/>
          <a:ext cx="95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hyperlink" Target="http://data.worldbank.org/indicator/NY.GDP.MKTP.PP.CD"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christian.loy@gmx.at" TargetMode="External"/><Relationship Id="rId3" Type="http://schemas.openxmlformats.org/officeDocument/2006/relationships/hyperlink" Target="mailto:audit@febc.eu" TargetMode="External"/><Relationship Id="rId7" Type="http://schemas.openxmlformats.org/officeDocument/2006/relationships/hyperlink" Target="mailto:christian.loy@gmx.at" TargetMode="External"/><Relationship Id="rId2" Type="http://schemas.openxmlformats.org/officeDocument/2006/relationships/hyperlink" Target="mailto:nodo-empresas@economia-del-bien-comun.es" TargetMode="External"/><Relationship Id="rId1" Type="http://schemas.openxmlformats.org/officeDocument/2006/relationships/hyperlink" Target="mailto:info@economia-del-ben-comune.it" TargetMode="External"/><Relationship Id="rId6" Type="http://schemas.openxmlformats.org/officeDocument/2006/relationships/hyperlink" Target="mailto:bilanz@ecogood.org" TargetMode="External"/><Relationship Id="rId5" Type="http://schemas.openxmlformats.org/officeDocument/2006/relationships/hyperlink" Target="mailto:bilanz@ecogood.org" TargetMode="External"/><Relationship Id="rId10" Type="http://schemas.openxmlformats.org/officeDocument/2006/relationships/printerSettings" Target="../printerSettings/printerSettings8.bin"/><Relationship Id="rId4" Type="http://schemas.openxmlformats.org/officeDocument/2006/relationships/hyperlink" Target="mailto:nodo-empresas@economia-del-bien-comun.es" TargetMode="External"/><Relationship Id="rId9" Type="http://schemas.openxmlformats.org/officeDocument/2006/relationships/hyperlink" Target="mailto:christian.loy@gmx.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42"/>
  <sheetViews>
    <sheetView showGridLines="0" tabSelected="1" zoomScale="75" zoomScaleNormal="75" workbookViewId="0">
      <selection activeCell="B1" sqref="B1:C1"/>
    </sheetView>
  </sheetViews>
  <sheetFormatPr baseColWidth="10" defaultColWidth="10.6640625" defaultRowHeight="12.75" customHeight="1"/>
  <cols>
    <col min="1" max="1" width="2.6640625" style="1" customWidth="1"/>
    <col min="2" max="2" width="11" style="1" customWidth="1"/>
    <col min="3" max="3" width="17.83203125" style="1" customWidth="1"/>
    <col min="4" max="4" width="66.83203125" style="1" customWidth="1"/>
    <col min="5" max="12" width="10.6640625" style="1"/>
    <col min="13" max="13" width="10.6640625" style="1" hidden="1" customWidth="1"/>
    <col min="14" max="16384" width="10.6640625" style="1"/>
  </cols>
  <sheetData>
    <row r="1" spans="1:13" ht="29.25" customHeight="1">
      <c r="A1" s="2"/>
      <c r="B1" s="485" t="s">
        <v>686</v>
      </c>
      <c r="C1" s="486"/>
      <c r="D1"/>
    </row>
    <row r="2" spans="1:13" ht="41.25" customHeight="1">
      <c r="A2" s="2"/>
      <c r="B2" s="487" t="str">
        <f>'12.lan'!D4</f>
        <v>GEMEINWOHL-RECHNER</v>
      </c>
      <c r="C2" s="487"/>
      <c r="D2" s="487"/>
      <c r="M2" s="1" t="str">
        <f>IF('12.lan'!B2="","",'12.lan'!B2)</f>
        <v>Select your language</v>
      </c>
    </row>
    <row r="3" spans="1:13" ht="12.75" customHeight="1">
      <c r="A3" s="2"/>
      <c r="B3" s="3" t="str">
        <f>'12.lan'!D6</f>
        <v>Version</v>
      </c>
      <c r="C3" s="470" t="s">
        <v>3359</v>
      </c>
      <c r="M3" s="1" t="str">
        <f>IF('12.lan'!B3="","",'12.lan'!B3)</f>
        <v>Deutsch</v>
      </c>
    </row>
    <row r="4" spans="1:13" ht="14.25" customHeight="1">
      <c r="A4" s="2"/>
      <c r="B4" s="2"/>
      <c r="C4" s="2"/>
      <c r="D4" s="2"/>
      <c r="M4" s="1" t="str">
        <f>IF('12.lan'!B4="","",'12.lan'!B4)</f>
        <v>Italiano</v>
      </c>
    </row>
    <row r="5" spans="1:13" ht="18.75" customHeight="1">
      <c r="A5" s="2"/>
      <c r="B5" s="472" t="str">
        <f>'12.lan'!D7</f>
        <v>HERZLICH WILLKOMMEN!</v>
      </c>
      <c r="C5" s="472"/>
      <c r="D5" s="472"/>
      <c r="M5" s="1" t="str">
        <f>IF('12.lan'!B5="","",'12.lan'!B5)</f>
        <v>English</v>
      </c>
    </row>
    <row r="6" spans="1:13" ht="47.25" customHeight="1">
      <c r="A6" s="2"/>
      <c r="B6" s="488" t="str">
        <f>'12.lan'!D8</f>
        <v>Dieses Tool dient zur Berechnung der Gemeinwohl-Punkte Ihres Unternehmens. Es ist eine Ergänzung zum Gemeinwohlbericht und muss gemeinsam mit diesem genutzt werden.  Wir wünschen gutes Gelingen!</v>
      </c>
      <c r="C6" s="488"/>
      <c r="D6" s="488"/>
      <c r="M6" s="1" t="str">
        <f>IF('12.lan'!B6="","",'12.lan'!B6)</f>
        <v>Español</v>
      </c>
    </row>
    <row r="7" spans="1:13" ht="24" customHeight="1">
      <c r="A7" s="2"/>
      <c r="B7" s="2"/>
      <c r="C7" s="2"/>
      <c r="D7" s="2"/>
      <c r="M7" s="1" t="str">
        <f>IF('12.lan'!B7="","",'12.lan'!B7)</f>
        <v>Francais</v>
      </c>
    </row>
    <row r="8" spans="1:13" ht="18.75" customHeight="1">
      <c r="A8" s="2"/>
      <c r="B8" s="472" t="str">
        <f>'12.lan'!D9</f>
        <v>WIE SIE DEN BILANZ-RECHNER RICHTIG VERWENDEN:</v>
      </c>
      <c r="C8" s="472"/>
      <c r="D8" s="472"/>
      <c r="M8" s="1" t="str">
        <f>IF('12.lan'!B8="","",'12.lan'!B8)</f>
        <v/>
      </c>
    </row>
    <row r="9" spans="1:13" ht="29.25" customHeight="1">
      <c r="A9" s="2"/>
      <c r="B9" s="484" t="str">
        <f>'12.lan'!D10</f>
        <v>1. Allgemeines</v>
      </c>
      <c r="C9" s="484"/>
      <c r="D9" s="4" t="str">
        <f>'12.lan'!D11</f>
        <v>Hier können Sie allgemeinen Angaben zu Ihrem Unternehmen machen.</v>
      </c>
      <c r="M9" s="1" t="str">
        <f>IF('12.lan'!B9="","",'12.lan'!B9)</f>
        <v/>
      </c>
    </row>
    <row r="10" spans="1:13" ht="37.5" customHeight="1">
      <c r="A10" s="2"/>
      <c r="B10" s="482" t="str">
        <f>'12.lan'!D28</f>
        <v>2. Fakten zum Unternehmen</v>
      </c>
      <c r="C10" s="482"/>
      <c r="D10" s="4" t="str">
        <f>'12.lan'!D12</f>
        <v xml:space="preserve">Hier müssen alle geforderten Kenngrößen eingetragen werden, da diese für die Gewichtung der Themen essentiell sind. </v>
      </c>
      <c r="M10" s="1" t="str">
        <f>IF('12.lan'!B10="","",'12.lan'!B10)</f>
        <v/>
      </c>
    </row>
    <row r="11" spans="1:13" ht="48" customHeight="1">
      <c r="A11" s="2"/>
      <c r="B11" s="482" t="str">
        <f>'12.lan'!D29</f>
        <v>3. Berechnung</v>
      </c>
      <c r="C11" s="482"/>
      <c r="D11" s="4" t="str">
        <f>'12.lan'!D13</f>
        <v>Für jedes Thema (A1, B1, ...) kann eine bestimmte Anzahl an Gemeinwohl-Punkten erreicht werden. Um zu ermitteln, wie viele davon Ihr Unternehmen erhält, gehen Sie wie folgt vor:</v>
      </c>
      <c r="M11" s="1" t="str">
        <f>IF('12.lan'!B11="","",'12.lan'!B11)</f>
        <v/>
      </c>
    </row>
    <row r="12" spans="1:13" ht="59.25" customHeight="1">
      <c r="A12" s="2"/>
      <c r="B12" s="483" t="s">
        <v>0</v>
      </c>
      <c r="C12" s="483"/>
      <c r="D12" s="4" t="str">
        <f>'12.lan'!D14</f>
        <v>Beschreiben Sie auf Basis des Arbeitsbuchs in wenigen Stichworten Ist-Zustand und Verbesserungspotenzial für die verschiedenen Aspekte (optional, ist für die Berechnung nicht unbedingt notwendig).</v>
      </c>
      <c r="M12" s="1" t="str">
        <f>IF('12.lan'!B12="","",'12.lan'!B12)</f>
        <v/>
      </c>
    </row>
    <row r="13" spans="1:13" ht="61.5" customHeight="1">
      <c r="A13" s="2"/>
      <c r="B13" s="483" t="s">
        <v>1</v>
      </c>
      <c r="C13" s="483"/>
      <c r="D13" s="4" t="str">
        <f>'12.lan'!D15</f>
        <v>Geben Sie - aufbauend auf diesen Beschreibungen - an, entsprechend welchem Skalenwert (0-10) Ihrer Meinung nach der jeweilige Aspekt erfüllt ist (Spalte "Erfüllungsgrad"). Anhaltspunkte zur Wahl des "richtigen" Skalenwerts finden Sie wiederum im Arbeitsbuch.</v>
      </c>
    </row>
    <row r="14" spans="1:13" ht="33" customHeight="1">
      <c r="A14" s="2"/>
      <c r="B14" s="483" t="s">
        <v>2</v>
      </c>
      <c r="C14" s="483"/>
      <c r="D14" s="4" t="str">
        <f>'12.lan'!D16</f>
        <v xml:space="preserve">Für die Bewertung der Negativaspekte geben Sie Punktewerte entsprechend der Beschreibungen im Arbeitsbuch an. </v>
      </c>
    </row>
    <row r="15" spans="1:13" ht="100.5" customHeight="1">
      <c r="A15" s="2"/>
      <c r="B15" s="483" t="s">
        <v>3</v>
      </c>
      <c r="C15" s="483"/>
      <c r="D15" s="5" t="str">
        <f>'12.lan'!D17</f>
        <v>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6" spans="1:13" ht="48" customHeight="1">
      <c r="A16" s="2"/>
      <c r="B16" s="483" t="s">
        <v>4</v>
      </c>
      <c r="C16" s="483"/>
      <c r="D16" s="4" t="str">
        <f>'12.lan'!D18</f>
        <v>Bei der Berechnung werden die Gesamtwerte pro Thema automatisch entsprechend der Angaben im Faktenblatt gewichtet und auf ganzzahlige Vielfache von 10% gerundet.</v>
      </c>
    </row>
    <row r="17" spans="1:4" ht="72.75" customHeight="1">
      <c r="A17" s="2"/>
      <c r="B17" s="483" t="s">
        <v>3054</v>
      </c>
      <c r="C17" s="483"/>
      <c r="D17" s="4" t="str">
        <f>'12.lan'!D45</f>
        <v>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row>
    <row r="18" spans="1:4" ht="18.75" customHeight="1">
      <c r="A18" s="2"/>
      <c r="B18" s="482" t="str">
        <f>'12.lan'!D30</f>
        <v>4. GW-Matrix</v>
      </c>
      <c r="C18" s="482"/>
      <c r="D18" s="4" t="str">
        <f>'12.lan'!D19</f>
        <v>Die "GW-Matrix" bietet einen tabellarischen Überblick über Ihr Ergebnis.</v>
      </c>
    </row>
    <row r="19" spans="1:4" ht="32.25" customHeight="1">
      <c r="A19" s="2"/>
      <c r="B19" s="482" t="str">
        <f>'12.lan'!D31</f>
        <v>5. Werte-Stern</v>
      </c>
      <c r="C19" s="482"/>
      <c r="D19" s="4" t="str">
        <f>'12.lan'!D21</f>
        <v>Der "Werte-Stern" zeigt schließlich Ihr Ergebnis nach Werten gegliedert in graphischer Form.</v>
      </c>
    </row>
    <row r="20" spans="1:4" ht="32.25" customHeight="1">
      <c r="A20" s="2"/>
      <c r="B20" s="482" t="str">
        <f>'12.lan'!D32</f>
        <v>6. Gruppen-Stern</v>
      </c>
      <c r="C20" s="482"/>
      <c r="D20" s="4" t="str">
        <f>'12.lan'!D22</f>
        <v>Der "Gruppen-Stern" zeigt schließlich Ihr Ergebnis nach Berührungsgruppen gegliedert in graphischer Form.</v>
      </c>
    </row>
    <row r="21" spans="1:4" ht="28.5" customHeight="1">
      <c r="A21" s="2"/>
      <c r="B21" s="482" t="str">
        <f>'12.lan'!D33</f>
        <v>7. Themen-Stern</v>
      </c>
      <c r="C21" s="482"/>
      <c r="D21" s="5" t="str">
        <f>'12.lan'!D23</f>
        <v>Der "Themen-Stern" zeigt schließlich Ihr Ergebnis in allen Themen in graphischer Form.</v>
      </c>
    </row>
    <row r="22" spans="1:4" ht="30" customHeight="1">
      <c r="A22" s="2"/>
      <c r="B22" s="478" t="str">
        <f>'12.lan'!D34</f>
        <v>8. Beschreibung Gewichtungsmodell</v>
      </c>
      <c r="C22" s="478"/>
      <c r="D22" s="5" t="str">
        <f>'12.lan'!D24</f>
        <v xml:space="preserve">Hier finden Sie eine Beschreibung der Gewichtungsmodelles. </v>
      </c>
    </row>
    <row r="23" spans="1:4" ht="41.25" customHeight="1">
      <c r="A23" s="2"/>
      <c r="B23" s="482" t="str">
        <f>'12.lan'!D35</f>
        <v>9. Gewichtung (ausgeblendet)</v>
      </c>
      <c r="C23" s="482"/>
      <c r="D23" s="5" t="str">
        <f>'12.lan'!D25</f>
        <v>Hier erfolgt die Berechnung wie die einzelnen Berührungsgruppen und Themen gewichtet werden.</v>
      </c>
    </row>
    <row r="24" spans="1:4" ht="43.5" customHeight="1">
      <c r="A24" s="2"/>
      <c r="B24" s="482" t="str">
        <f>'12.lan'!D36</f>
        <v>10. Branchen (ausgeblendet)</v>
      </c>
      <c r="C24" s="482"/>
      <c r="D24" s="5" t="str">
        <f>'12.lan'!D26</f>
        <v xml:space="preserve">Enthält Einschätzungen der Relevanz von Zulieferkette und ökologische Nachhaltigkeit für alle Branchen,, die für die Gewichtung herangezogen werden. </v>
      </c>
    </row>
    <row r="25" spans="1:4" ht="35.25" customHeight="1">
      <c r="A25" s="2"/>
      <c r="B25" s="478" t="str">
        <f>'12.lan'!D37</f>
        <v>11. Länder und Regionen (ausgeblendet)</v>
      </c>
      <c r="C25" s="478"/>
      <c r="D25" s="5" t="str">
        <f>'12.lan'!D27</f>
        <v xml:space="preserve">Enthält Statistiken für Länder und Regionen, die für die Gewichtung herangezogen werden. </v>
      </c>
    </row>
    <row r="26" spans="1:4" ht="15" customHeight="1">
      <c r="A26" s="2"/>
      <c r="B26" s="6"/>
      <c r="C26" s="6"/>
      <c r="D26" s="7"/>
    </row>
    <row r="27" spans="1:4" ht="12.75" customHeight="1">
      <c r="A27" s="2"/>
      <c r="B27" s="472" t="str">
        <f>'12.lan'!D40</f>
        <v>LEGENDE</v>
      </c>
      <c r="C27" s="472"/>
      <c r="D27" s="472"/>
    </row>
    <row r="28" spans="1:4" ht="19.5" customHeight="1">
      <c r="A28" s="2"/>
      <c r="B28" s="479" t="str">
        <f>'12.lan'!D41</f>
        <v>Feld ist beschreibbar (grüner Rahmen, dunkelgrüne Schrift)</v>
      </c>
      <c r="C28" s="479"/>
      <c r="D28" s="479"/>
    </row>
    <row r="29" spans="1:4" ht="1.5" customHeight="1">
      <c r="A29" s="2"/>
      <c r="B29" s="2"/>
      <c r="C29" s="2"/>
      <c r="D29" s="8"/>
    </row>
    <row r="30" spans="1:4" ht="19.5" customHeight="1">
      <c r="A30" s="2"/>
      <c r="B30" s="480" t="str">
        <f>'12.lan'!D42</f>
        <v>Feld ist nicht beschreibbar (grauer Rahmen, dunkelgraue Schrift)</v>
      </c>
      <c r="C30" s="480"/>
      <c r="D30" s="480"/>
    </row>
    <row r="31" spans="1:4" ht="1.5" customHeight="1">
      <c r="A31" s="2"/>
      <c r="B31" s="2"/>
      <c r="C31" s="2"/>
      <c r="D31" s="8"/>
    </row>
    <row r="32" spans="1:4" ht="19.5" customHeight="1">
      <c r="A32" s="2"/>
      <c r="B32" s="481" t="str">
        <f>'12.lan'!D43</f>
        <v>unerlaubter Wert eingegeben (zur korrekten Berechnung Wert ändern)</v>
      </c>
      <c r="C32" s="481"/>
      <c r="D32" s="481"/>
    </row>
    <row r="33" spans="1:4" ht="12.75" customHeight="1">
      <c r="A33" s="2"/>
      <c r="B33" s="2"/>
      <c r="C33" s="2"/>
      <c r="D33" s="2"/>
    </row>
    <row r="34" spans="1:4" ht="12.75" customHeight="1">
      <c r="A34" s="2"/>
      <c r="B34" s="472" t="str">
        <f>'12.lan'!D54</f>
        <v>KONTAKT</v>
      </c>
      <c r="C34" s="472"/>
      <c r="D34" s="472"/>
    </row>
    <row r="35" spans="1:4" ht="12.75" customHeight="1">
      <c r="A35" s="2"/>
      <c r="B35" s="474" t="str">
        <f>'12.lan'!D55</f>
        <v>Fragen zur Bilanz-Erstellung: beratung@gemeinwohl-oekonomie.org (GWÖ-BeraterInnen);</v>
      </c>
      <c r="C35" s="474"/>
      <c r="D35" s="474"/>
    </row>
    <row r="36" spans="1:4" ht="12.75" customHeight="1">
      <c r="A36" s="2"/>
      <c r="B36" s="474" t="str">
        <f>'12.lan'!D56</f>
        <v>Fragen zur Auditierung: audit@gemeinwohl-oekonomie.org (GWÖ-AuditorInnen);</v>
      </c>
      <c r="C36" s="474"/>
      <c r="D36" s="474"/>
    </row>
    <row r="37" spans="1:4" ht="12.75" customHeight="1">
      <c r="A37" s="2"/>
      <c r="B37" s="475" t="str">
        <f>'12.lan'!D57</f>
        <v>Weiterentwicklung der Matrix: bilanz@ecogood.org (GWÖ-Matrix Entwicklungsteam);</v>
      </c>
      <c r="C37" s="475"/>
      <c r="D37" s="475"/>
    </row>
    <row r="38" spans="1:4" ht="51" customHeight="1">
      <c r="A38" s="2"/>
      <c r="B38" s="476" t="str">
        <f>'12.lan'!D58</f>
        <v>Excel-Programmierung: Christian Loy (christian.loy@gmx.at); Christian Kozina; Multilanguage-tool: Bernhard Oberrauch</v>
      </c>
      <c r="C38" s="476"/>
      <c r="D38" s="476"/>
    </row>
    <row r="39" spans="1:4" ht="30" customHeight="1">
      <c r="A39" s="2"/>
      <c r="B39" s="477" t="str">
        <f>'12.lan'!D59</f>
        <v>Inhalte: GWÖ-Matrix Entwicklungsteam</v>
      </c>
      <c r="C39" s="477"/>
      <c r="D39" s="477"/>
    </row>
    <row r="40" spans="1:4" ht="12.75" customHeight="1">
      <c r="A40" s="2"/>
      <c r="B40" s="2"/>
      <c r="C40" s="2"/>
      <c r="D40" s="2"/>
    </row>
    <row r="41" spans="1:4" ht="12.75" customHeight="1">
      <c r="A41" s="2"/>
      <c r="B41" s="472" t="str">
        <f>'12.lan'!D60</f>
        <v>ANMERKUNGEN</v>
      </c>
      <c r="C41" s="472"/>
      <c r="D41" s="472"/>
    </row>
    <row r="42" spans="1:4" ht="28.5" customHeight="1">
      <c r="B42" s="473" t="str">
        <f>'12.lan'!D61</f>
        <v>Alle Tabellen sind optimiert für den Ausdruck auf A4 (Hoch- oder Querformat).
Die Höhe der Zeilen ist veränderbar, falls Sie mehr Text eingeben wollen.</v>
      </c>
      <c r="C42" s="473"/>
      <c r="D42" s="473"/>
    </row>
  </sheetData>
  <sheetProtection algorithmName="SHA-512" hashValue="4PXfgtcmeFk6bsUREZFIrVzSN1uNWK6OezM8J2loFDeOiYKLV5j3dMqkYu3UsEhRCWzpcZLC0+tpZScFqA9CEw==" saltValue="adFgAdjOOsqLPhKbvuRpJA==" spinCount="100000" sheet="1" objects="1" scenarios="1"/>
  <mergeCells count="34">
    <mergeCell ref="B1:C1"/>
    <mergeCell ref="B2:D2"/>
    <mergeCell ref="B5:D5"/>
    <mergeCell ref="B6:D6"/>
    <mergeCell ref="B8:D8"/>
    <mergeCell ref="B9:C9"/>
    <mergeCell ref="B10:C10"/>
    <mergeCell ref="B11:C11"/>
    <mergeCell ref="B12:C12"/>
    <mergeCell ref="B13:C13"/>
    <mergeCell ref="B14:C14"/>
    <mergeCell ref="B15:C15"/>
    <mergeCell ref="B16:C16"/>
    <mergeCell ref="B18:C18"/>
    <mergeCell ref="B19:C19"/>
    <mergeCell ref="B17:C17"/>
    <mergeCell ref="B20:C20"/>
    <mergeCell ref="B21:C21"/>
    <mergeCell ref="B22:C22"/>
    <mergeCell ref="B23:C23"/>
    <mergeCell ref="B24:C24"/>
    <mergeCell ref="B25:C25"/>
    <mergeCell ref="B27:D27"/>
    <mergeCell ref="B28:D28"/>
    <mergeCell ref="B30:D30"/>
    <mergeCell ref="B32:D32"/>
    <mergeCell ref="B41:D41"/>
    <mergeCell ref="B42:D42"/>
    <mergeCell ref="B34:D34"/>
    <mergeCell ref="B35:D35"/>
    <mergeCell ref="B36:D36"/>
    <mergeCell ref="B37:D37"/>
    <mergeCell ref="B38:D38"/>
    <mergeCell ref="B39:D39"/>
  </mergeCells>
  <dataValidations count="1">
    <dataValidation type="list" allowBlank="1" showInputMessage="1" showErrorMessage="1" sqref="B1:C1" xr:uid="{00000000-0002-0000-0000-000000000000}">
      <formula1>$M$2:$M$8</formula1>
    </dataValidation>
  </dataValidations>
  <pageMargins left="0.52013888888888893" right="0.59027777777777779" top="0.78749999999999998" bottom="0.78749999999999998"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F26"/>
  <sheetViews>
    <sheetView zoomScale="75" zoomScaleNormal="75" workbookViewId="0">
      <pane ySplit="2" topLeftCell="A3" activePane="bottomLeft" state="frozen"/>
      <selection pane="bottomLeft"/>
    </sheetView>
  </sheetViews>
  <sheetFormatPr baseColWidth="10" defaultColWidth="10.33203125" defaultRowHeight="12.75" customHeight="1"/>
  <cols>
    <col min="1" max="1" width="32.33203125" style="259" customWidth="1"/>
    <col min="2" max="2" width="2.33203125" style="259" customWidth="1"/>
    <col min="3" max="3" width="94.33203125" style="260" customWidth="1"/>
    <col min="4" max="4" width="4.6640625" style="260" customWidth="1"/>
    <col min="5" max="16384" width="10.33203125" style="260"/>
  </cols>
  <sheetData>
    <row r="1" spans="1:6" ht="33" customHeight="1">
      <c r="A1" s="3" t="str">
        <f>'12.lan'!D91&amp;" - "&amp;'0. Intro'!B3&amp;" "&amp;'0. Intro'!C3</f>
        <v>Gemeinwohl-Bilanz-Rechner - Version 5.08</v>
      </c>
      <c r="B1" s="229"/>
      <c r="C1" s="229"/>
      <c r="D1" s="229"/>
      <c r="E1" s="229"/>
      <c r="F1" s="229"/>
    </row>
    <row r="2" spans="1:6" ht="31.5" customHeight="1">
      <c r="A2" s="489" t="str">
        <f>'12.lan'!D204</f>
        <v>Beschreibung des Gewichtungsmodelles</v>
      </c>
      <c r="B2" s="489"/>
      <c r="C2" s="489"/>
      <c r="D2" s="261"/>
      <c r="E2" s="261"/>
    </row>
    <row r="3" spans="1:6" ht="12" customHeight="1">
      <c r="A3" s="261"/>
      <c r="B3" s="261"/>
      <c r="C3" s="261"/>
      <c r="D3" s="261"/>
      <c r="E3" s="261"/>
    </row>
    <row r="4" spans="1:6" ht="108" customHeight="1">
      <c r="A4" s="262" t="str">
        <f>'12.lan'!D208</f>
        <v>Allgemein</v>
      </c>
      <c r="B4" s="262"/>
      <c r="C4" s="263" t="str">
        <f>'12.lan'!D244</f>
        <v>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D4" s="261"/>
      <c r="E4" s="261"/>
    </row>
    <row r="5" spans="1:6" ht="78.75" customHeight="1">
      <c r="A5" s="262" t="str">
        <f>'12.lan'!D207</f>
        <v>Berührungsgruppen &amp; Werte</v>
      </c>
      <c r="B5" s="262"/>
      <c r="C5" s="263" t="str">
        <f>'12.lan'!D245</f>
        <v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row>
    <row r="6" spans="1:6" ht="45.75" customHeight="1">
      <c r="A6" s="264" t="str">
        <f>'12.lan'!D205</f>
        <v>Themen</v>
      </c>
      <c r="B6" s="264"/>
      <c r="C6" s="265" t="str">
        <f>'12.lan'!D246</f>
        <v>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7" spans="1:6" ht="18.75" customHeight="1">
      <c r="A7" s="266" t="s">
        <v>13</v>
      </c>
      <c r="B7" s="266"/>
      <c r="C7" s="265" t="s">
        <v>153</v>
      </c>
    </row>
    <row r="8" spans="1:6" ht="18.75" customHeight="1">
      <c r="A8" s="267" t="s">
        <v>16</v>
      </c>
      <c r="B8" s="267"/>
      <c r="C8" s="265" t="str">
        <f>'12.lan'!D248</f>
        <v>-</v>
      </c>
    </row>
    <row r="9" spans="1:6" ht="26.25" customHeight="1">
      <c r="A9" s="268" t="s">
        <v>20</v>
      </c>
      <c r="B9" s="268"/>
      <c r="C9" s="265" t="str">
        <f>'12.lan'!D249</f>
        <v>Die Gewichtung dieses Thema’s ist abhängig vom ökologischen Effekt der Branche des Lieferanten (siehe Tabellenblatt “Industry”)</v>
      </c>
    </row>
    <row r="10" spans="1:6" ht="24.75" customHeight="1">
      <c r="A10" s="268" t="s">
        <v>23</v>
      </c>
      <c r="B10" s="268"/>
      <c r="C10" s="265" t="str">
        <f>'12.lan'!D250</f>
        <v>Die Gewichtung dieses Thema’s ist abhängig von den Mitbestimmungsrechte in den Ländern der wichtigsten Zulieferbranchen (basierend auf dem ITUC-Index der International Trade Union Confederation)</v>
      </c>
    </row>
    <row r="11" spans="1:6" ht="20.25" customHeight="1">
      <c r="A11" s="268" t="s">
        <v>27</v>
      </c>
      <c r="B11" s="268"/>
      <c r="C11" s="265" t="str">
        <f>'12.lan'!D251</f>
        <v>Die Gewichtung dieses Thema’s ist abhängig von der Relation Umsatz zu Bilanzsumme</v>
      </c>
    </row>
    <row r="12" spans="1:6" ht="20.25" customHeight="1">
      <c r="A12" s="268" t="s">
        <v>31</v>
      </c>
      <c r="B12" s="268"/>
      <c r="C12" s="265" t="str">
        <f>'12.lan'!D252</f>
        <v xml:space="preserve">Die Gewichtung dieses Thema’s ist abhängig von der Relation Gewinn zu Umsatz </v>
      </c>
    </row>
    <row r="13" spans="1:6" ht="20.25" customHeight="1">
      <c r="A13" s="268" t="s">
        <v>34</v>
      </c>
      <c r="B13" s="268"/>
      <c r="C13" s="265" t="str">
        <f>'12.lan'!D253</f>
        <v>Die Gewichtung dieses Thema’s ist abhängig  Zugängen zum Anlagevermögen und Finanzvermögen in Relation zu der Bilanzsumme</v>
      </c>
    </row>
    <row r="14" spans="1:6" ht="20.25" customHeight="1">
      <c r="A14" s="268" t="s">
        <v>38</v>
      </c>
      <c r="B14" s="268"/>
      <c r="C14" s="265" t="str">
        <f>'12.lan'!D254</f>
        <v>Die Gewichtung dieses Thema’s ist abhängig von der Größe des Unternehmens</v>
      </c>
    </row>
    <row r="15" spans="1:6" ht="20.25" customHeight="1">
      <c r="A15" s="268" t="s">
        <v>42</v>
      </c>
      <c r="B15" s="268"/>
      <c r="C15" s="265" t="str">
        <f>'12.lan'!D255</f>
        <v>-</v>
      </c>
    </row>
    <row r="16" spans="1:6" ht="20.25" customHeight="1">
      <c r="A16" s="268" t="s">
        <v>47</v>
      </c>
      <c r="B16" s="268"/>
      <c r="C16" s="265" t="str">
        <f>'12.lan'!D256</f>
        <v>-</v>
      </c>
    </row>
    <row r="17" spans="1:3" ht="26.25" customHeight="1">
      <c r="A17" s="268" t="s">
        <v>52</v>
      </c>
      <c r="B17" s="268"/>
      <c r="C17" s="265" t="str">
        <f>'12.lan'!D257</f>
        <v>Die Gewichtung dieses Thema’s ist abhängig von der Existenz einer Kantine für die Mehrheit der Mitarbeiter*innen sowie dem (geschätzten) durchschnittlichen Anfahrtsweg zur Arbeit.</v>
      </c>
    </row>
    <row r="18" spans="1:3" ht="24.75" customHeight="1">
      <c r="A18" s="268" t="s">
        <v>57</v>
      </c>
      <c r="B18" s="268"/>
      <c r="C18" s="265" t="str">
        <f>'12.lan'!D258</f>
        <v>Die Gewichtung dieses Thema’s ist abhängig von der Größe des Unternehmens sowie von den Mitbestimmungsrechte in den Ländern der wichtigsten Standorte (basierend auf dem ITUC-Index der International Labour Union)</v>
      </c>
    </row>
    <row r="19" spans="1:3" ht="16.5" customHeight="1">
      <c r="A19" s="268" t="s">
        <v>63</v>
      </c>
      <c r="B19" s="268"/>
      <c r="C19" s="265" t="str">
        <f>'12.lan'!D259</f>
        <v>-</v>
      </c>
    </row>
    <row r="20" spans="1:3" ht="16.5" customHeight="1">
      <c r="A20" s="268" t="s">
        <v>67</v>
      </c>
      <c r="B20" s="268"/>
      <c r="C20" s="265" t="str">
        <f>'12.lan'!D260</f>
        <v>-</v>
      </c>
    </row>
    <row r="21" spans="1:3" ht="16.5" customHeight="1">
      <c r="A21" s="268" t="s">
        <v>71</v>
      </c>
      <c r="B21" s="268"/>
      <c r="C21" s="265" t="str">
        <f>'12.lan'!D261</f>
        <v xml:space="preserve">Die Gewichtung dieses Thema’s ist abhängig von der Branche </v>
      </c>
    </row>
    <row r="22" spans="1:3" ht="16.5" customHeight="1">
      <c r="A22" s="268" t="s">
        <v>75</v>
      </c>
      <c r="B22" s="268"/>
      <c r="C22" s="265" t="str">
        <f>'12.lan'!D262</f>
        <v>Die Gewichtung dieses Thema’s ist abhängig davon, ob Kund*innen in erster Linie Private oder Unternehmen sind</v>
      </c>
    </row>
    <row r="23" spans="1:3" ht="16.5" customHeight="1">
      <c r="A23" s="268" t="s">
        <v>79</v>
      </c>
      <c r="B23" s="268"/>
      <c r="C23" s="265" t="str">
        <f>'12.lan'!D263</f>
        <v>-</v>
      </c>
    </row>
    <row r="24" spans="1:3" ht="16.5" customHeight="1">
      <c r="A24" s="268" t="s">
        <v>83</v>
      </c>
      <c r="B24" s="268"/>
      <c r="C24" s="265" t="str">
        <f>'12.lan'!D264</f>
        <v>Die Gewichtung dieses Thema’s ist abhängig von der Umsatzrentabilität (Gewinn/Umsatz)</v>
      </c>
    </row>
    <row r="25" spans="1:3" ht="16.5" customHeight="1">
      <c r="A25" s="268" t="s">
        <v>88</v>
      </c>
      <c r="B25" s="268"/>
      <c r="C25" s="265" t="str">
        <f>'12.lan'!D265</f>
        <v>Die Gewichtung dieses Thenma’s ist abhängig von der Branche</v>
      </c>
    </row>
    <row r="26" spans="1:3" ht="16.5" customHeight="1">
      <c r="A26" s="269" t="s">
        <v>92</v>
      </c>
      <c r="B26" s="269"/>
      <c r="C26" s="265" t="str">
        <f>'12.lan'!D266</f>
        <v>Die Gewichtung dieses Thema’s ist abhängig von der Größe sowie der Branche des Unternehmens.</v>
      </c>
    </row>
  </sheetData>
  <sheetProtection algorithmName="SHA-512" hashValue="jXFuQM3eymdkFat5pdnk5Zchzocen2xYABWPOA3oE9BwMx5/wmGmWnz3mdF8w0OQ+Xvd2otmzAeNFLxfk/6q3A==" saltValue="i89cQdzXFg6bfDgQdIa/UA==" spinCount="100000" sheet="1" objects="1" scenarios="1"/>
  <mergeCells count="1">
    <mergeCell ref="A2:C2"/>
  </mergeCells>
  <pageMargins left="0.7" right="0.7" top="0.78749999999999998" bottom="0.78749999999999998" header="0.51180555555555551" footer="0.51180555555555551"/>
  <pageSetup paperSize="9" firstPageNumber="0"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8"/>
  <sheetViews>
    <sheetView showGridLines="0" workbookViewId="0"/>
  </sheetViews>
  <sheetFormatPr baseColWidth="10" defaultColWidth="11.5" defaultRowHeight="14"/>
  <cols>
    <col min="1" max="1" width="9.33203125" style="459" customWidth="1"/>
    <col min="2" max="2" width="112.6640625" style="459" customWidth="1"/>
    <col min="3" max="16384" width="11.5" style="459"/>
  </cols>
  <sheetData>
    <row r="1" spans="1:2" s="460" customFormat="1" ht="51" customHeight="1">
      <c r="A1" s="461" t="s">
        <v>699</v>
      </c>
      <c r="B1" s="462" t="s">
        <v>3045</v>
      </c>
    </row>
    <row r="2" spans="1:2" s="460" customFormat="1" ht="57" customHeight="1">
      <c r="A2" s="463" t="s">
        <v>3046</v>
      </c>
      <c r="B2" s="464" t="s">
        <v>3049</v>
      </c>
    </row>
    <row r="3" spans="1:2" s="460" customFormat="1" ht="57" customHeight="1">
      <c r="A3" s="463" t="s">
        <v>3047</v>
      </c>
      <c r="B3" s="464" t="s">
        <v>3051</v>
      </c>
    </row>
    <row r="4" spans="1:2" s="460" customFormat="1" ht="57" customHeight="1">
      <c r="A4" s="463" t="s">
        <v>3044</v>
      </c>
      <c r="B4" s="464" t="s">
        <v>3050</v>
      </c>
    </row>
    <row r="5" spans="1:2" s="460" customFormat="1" ht="57" customHeight="1">
      <c r="A5" s="463" t="s">
        <v>3048</v>
      </c>
      <c r="B5" s="465" t="s">
        <v>3354</v>
      </c>
    </row>
    <row r="6" spans="1:2" s="460" customFormat="1" ht="57" customHeight="1">
      <c r="A6" s="463" t="s">
        <v>3355</v>
      </c>
      <c r="B6" s="465" t="s">
        <v>3357</v>
      </c>
    </row>
    <row r="7" spans="1:2" s="460" customFormat="1" ht="57" customHeight="1">
      <c r="A7" s="471" t="s">
        <v>3358</v>
      </c>
      <c r="B7" s="465" t="s">
        <v>3360</v>
      </c>
    </row>
    <row r="8" spans="1:2" ht="57" customHeight="1">
      <c r="A8" s="471" t="s">
        <v>3359</v>
      </c>
      <c r="B8" s="465" t="s">
        <v>3361</v>
      </c>
    </row>
  </sheetData>
  <sheetProtection algorithmName="SHA-512" hashValue="nOkq/6EPVdzgFFHUu0e9hqtBf8tdgvM5fSECv0w1OMLE+vNb0LJbUau8Ufqzout2kSP+omTqq6ZM0tkueTve9Q==" saltValue="c6JLmOI/2o1Cr8XkcojZcQ==" spinCount="100000" sheet="1" objects="1" scenarios="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S39"/>
  <sheetViews>
    <sheetView zoomScale="75" zoomScaleNormal="75" workbookViewId="0">
      <pane xSplit="2" ySplit="3" topLeftCell="C4" activePane="bottomRight" state="frozen"/>
      <selection pane="topRight" activeCell="C1" sqref="C1"/>
      <selection pane="bottomLeft" activeCell="A4" sqref="A4"/>
      <selection pane="bottomRight" sqref="A1:Q1"/>
    </sheetView>
  </sheetViews>
  <sheetFormatPr baseColWidth="10" defaultColWidth="10.33203125" defaultRowHeight="9.75" customHeight="1"/>
  <cols>
    <col min="1" max="1" width="6.33203125" style="270" customWidth="1"/>
    <col min="2" max="2" width="43.33203125" style="270" customWidth="1"/>
    <col min="3" max="3" width="5" style="271" customWidth="1"/>
    <col min="4" max="4" width="1.33203125" style="270" customWidth="1"/>
    <col min="5" max="5" width="7.83203125" style="270" customWidth="1"/>
    <col min="6" max="6" width="12.33203125" style="270" customWidth="1"/>
    <col min="7" max="7" width="9.33203125" style="270" hidden="1" customWidth="1"/>
    <col min="8" max="8" width="20.83203125" style="270" hidden="1" customWidth="1"/>
    <col min="9" max="9" width="7.83203125" style="271" customWidth="1"/>
    <col min="10" max="10" width="14.83203125" style="270" customWidth="1"/>
    <col min="11" max="11" width="7.83203125" style="271" customWidth="1"/>
    <col min="12" max="12" width="14.33203125" style="270" customWidth="1"/>
    <col min="13" max="13" width="7.83203125" style="270" customWidth="1"/>
    <col min="14" max="14" width="9.83203125" style="270" customWidth="1"/>
    <col min="15" max="15" width="2.33203125" style="270" customWidth="1"/>
    <col min="16" max="16" width="7.83203125" style="270" customWidth="1"/>
    <col min="17" max="17" width="16.33203125" style="270" customWidth="1"/>
    <col min="18" max="16384" width="10.33203125" style="270"/>
  </cols>
  <sheetData>
    <row r="1" spans="1:19" ht="29.25" customHeight="1">
      <c r="A1" s="555" t="s">
        <v>154</v>
      </c>
      <c r="B1" s="555"/>
      <c r="C1" s="555"/>
      <c r="D1" s="555"/>
      <c r="E1" s="555"/>
      <c r="F1" s="555"/>
      <c r="G1" s="555"/>
      <c r="H1" s="555"/>
      <c r="I1" s="555"/>
      <c r="J1" s="555"/>
      <c r="K1" s="555"/>
      <c r="L1" s="555"/>
      <c r="M1" s="555"/>
      <c r="N1" s="555"/>
      <c r="O1" s="555"/>
      <c r="P1" s="555"/>
      <c r="Q1" s="555"/>
    </row>
    <row r="2" spans="1:19" ht="22.5" customHeight="1">
      <c r="A2" s="272"/>
      <c r="B2" s="273" t="s">
        <v>155</v>
      </c>
      <c r="C2" s="556"/>
      <c r="D2" s="556"/>
      <c r="E2" s="557" t="s">
        <v>156</v>
      </c>
      <c r="F2" s="557"/>
      <c r="G2" s="558" t="s">
        <v>157</v>
      </c>
      <c r="H2" s="558"/>
      <c r="I2" s="559" t="s">
        <v>158</v>
      </c>
      <c r="J2" s="559"/>
      <c r="K2" s="556" t="s">
        <v>159</v>
      </c>
      <c r="L2" s="556"/>
      <c r="M2" s="560" t="s">
        <v>160</v>
      </c>
      <c r="N2" s="560"/>
      <c r="O2" s="561" t="s">
        <v>161</v>
      </c>
      <c r="P2" s="561"/>
      <c r="Q2" s="561"/>
      <c r="R2" s="554"/>
      <c r="S2" s="554"/>
    </row>
    <row r="3" spans="1:19" ht="111" customHeight="1">
      <c r="A3" s="274"/>
      <c r="B3" s="275" t="s">
        <v>162</v>
      </c>
      <c r="C3" s="276"/>
      <c r="D3" s="277"/>
      <c r="E3" s="278" t="s">
        <v>163</v>
      </c>
      <c r="F3" s="277" t="s">
        <v>164</v>
      </c>
      <c r="G3" s="279" t="s">
        <v>163</v>
      </c>
      <c r="H3" s="279" t="s">
        <v>165</v>
      </c>
      <c r="I3" s="280" t="s">
        <v>163</v>
      </c>
      <c r="J3" s="281" t="s">
        <v>166</v>
      </c>
      <c r="K3" s="276" t="s">
        <v>163</v>
      </c>
      <c r="L3" s="277" t="s">
        <v>167</v>
      </c>
      <c r="M3" s="282" t="s">
        <v>163</v>
      </c>
      <c r="N3" s="281" t="s">
        <v>168</v>
      </c>
      <c r="O3" s="283"/>
      <c r="P3" s="284" t="s">
        <v>163</v>
      </c>
      <c r="Q3" s="285" t="s">
        <v>169</v>
      </c>
    </row>
    <row r="4" spans="1:19" ht="71" customHeight="1">
      <c r="A4" s="286" t="s">
        <v>170</v>
      </c>
      <c r="B4" s="287" t="str">
        <f>'12.lan'!D268</f>
        <v>A - Landwirtschaft, Forstwirtschaft und Fischerei</v>
      </c>
      <c r="C4" s="288"/>
      <c r="D4" s="289"/>
      <c r="E4" s="290" t="s">
        <v>151</v>
      </c>
      <c r="F4" s="289"/>
      <c r="G4" s="291"/>
      <c r="H4" s="291" t="s">
        <v>171</v>
      </c>
      <c r="I4" s="449" t="s">
        <v>149</v>
      </c>
      <c r="J4" s="292" t="s">
        <v>172</v>
      </c>
      <c r="K4" s="288" t="s">
        <v>151</v>
      </c>
      <c r="L4" s="289" t="s">
        <v>173</v>
      </c>
      <c r="M4" s="293" t="s">
        <v>149</v>
      </c>
      <c r="N4" s="294"/>
      <c r="O4" s="283"/>
      <c r="P4" s="295" t="s">
        <v>151</v>
      </c>
      <c r="Q4" s="285"/>
    </row>
    <row r="5" spans="1:19" ht="21" customHeight="1">
      <c r="A5" s="296" t="s">
        <v>174</v>
      </c>
      <c r="B5" s="287" t="str">
        <f>'12.lan'!D269</f>
        <v>B - Bergbau und Gewinnung von Steinen und Erden</v>
      </c>
      <c r="C5" s="297"/>
      <c r="D5" s="298"/>
      <c r="E5" s="299" t="s">
        <v>151</v>
      </c>
      <c r="F5" s="298"/>
      <c r="G5" s="300"/>
      <c r="H5" s="300"/>
      <c r="I5" s="301" t="s">
        <v>149</v>
      </c>
      <c r="J5" s="302"/>
      <c r="K5" s="297" t="s">
        <v>151</v>
      </c>
      <c r="L5" s="298" t="s">
        <v>175</v>
      </c>
      <c r="M5" s="303" t="s">
        <v>151</v>
      </c>
      <c r="N5" s="302"/>
      <c r="O5" s="283"/>
      <c r="P5" s="295" t="s">
        <v>151</v>
      </c>
      <c r="Q5" s="285"/>
    </row>
    <row r="6" spans="1:19" ht="20" customHeight="1">
      <c r="A6" s="296" t="s">
        <v>176</v>
      </c>
      <c r="B6" s="287" t="str">
        <f>'12.lan'!D270</f>
        <v>C - Verarbeitendes Gewerbe (nicht weiter spezifiziert)</v>
      </c>
      <c r="C6" s="297"/>
      <c r="D6" s="304"/>
      <c r="E6" s="305" t="s">
        <v>150</v>
      </c>
      <c r="F6" s="304"/>
      <c r="G6" s="306"/>
      <c r="H6" s="306"/>
      <c r="I6" s="301" t="s">
        <v>149</v>
      </c>
      <c r="J6" s="302"/>
      <c r="K6" s="297" t="s">
        <v>150</v>
      </c>
      <c r="L6" s="304" t="s">
        <v>177</v>
      </c>
      <c r="M6" s="303" t="s">
        <v>150</v>
      </c>
      <c r="N6" s="302"/>
      <c r="O6" s="283"/>
      <c r="P6" s="295" t="s">
        <v>150</v>
      </c>
      <c r="Q6" s="285"/>
    </row>
    <row r="7" spans="1:19" ht="9.75" customHeight="1">
      <c r="A7" s="296" t="s">
        <v>178</v>
      </c>
      <c r="B7" s="287" t="str">
        <f>'12.lan'!D271</f>
        <v>Ca - Produktion von Lebensmittel, Getränken und Tabak (C10,C11,C12)</v>
      </c>
      <c r="C7" s="297"/>
      <c r="D7" s="307"/>
      <c r="E7" s="308" t="s">
        <v>151</v>
      </c>
      <c r="F7" s="307"/>
      <c r="G7" s="309"/>
      <c r="H7" s="309"/>
      <c r="I7" s="301" t="s">
        <v>149</v>
      </c>
      <c r="J7" s="302"/>
      <c r="K7" s="297" t="s">
        <v>149</v>
      </c>
      <c r="L7" s="307"/>
      <c r="M7" s="303" t="s">
        <v>149</v>
      </c>
      <c r="N7" s="302"/>
      <c r="O7" s="283"/>
      <c r="P7" s="295" t="s">
        <v>151</v>
      </c>
      <c r="Q7" s="285"/>
    </row>
    <row r="8" spans="1:19" ht="9.75" customHeight="1">
      <c r="A8" s="296" t="s">
        <v>179</v>
      </c>
      <c r="B8" s="287" t="str">
        <f>'12.lan'!D272</f>
        <v>Cb - Produktion von Textilien, Kleidung, Leder und Produkten hieraus (C13,C14,C15)</v>
      </c>
      <c r="C8" s="297"/>
      <c r="D8" s="307"/>
      <c r="E8" s="308" t="s">
        <v>151</v>
      </c>
      <c r="F8" s="307"/>
      <c r="G8" s="309"/>
      <c r="H8" s="309"/>
      <c r="I8" s="301" t="s">
        <v>149</v>
      </c>
      <c r="J8" s="302"/>
      <c r="K8" s="297" t="s">
        <v>150</v>
      </c>
      <c r="L8" s="307"/>
      <c r="M8" s="303" t="s">
        <v>149</v>
      </c>
      <c r="N8" s="302"/>
      <c r="O8" s="283"/>
      <c r="P8" s="295" t="s">
        <v>151</v>
      </c>
      <c r="Q8" s="285"/>
    </row>
    <row r="9" spans="1:19" ht="9.75" customHeight="1">
      <c r="A9" s="296" t="s">
        <v>180</v>
      </c>
      <c r="B9" s="287" t="str">
        <f>'12.lan'!D273</f>
        <v>Cc - Produktion von Holz- und Papierprodukten sowie Drucksorten (C16,C17,C18)</v>
      </c>
      <c r="C9" s="297"/>
      <c r="D9" s="307"/>
      <c r="E9" s="308" t="s">
        <v>150</v>
      </c>
      <c r="F9" s="307"/>
      <c r="G9" s="309"/>
      <c r="H9" s="309"/>
      <c r="I9" s="301" t="s">
        <v>149</v>
      </c>
      <c r="J9" s="302"/>
      <c r="K9" s="297" t="s">
        <v>150</v>
      </c>
      <c r="L9" s="307"/>
      <c r="M9" s="303" t="s">
        <v>149</v>
      </c>
      <c r="N9" s="302"/>
      <c r="O9" s="283"/>
      <c r="P9" s="295" t="s">
        <v>151</v>
      </c>
      <c r="Q9" s="285"/>
    </row>
    <row r="10" spans="1:19" ht="9.75" customHeight="1">
      <c r="A10" s="296" t="s">
        <v>181</v>
      </c>
      <c r="B10" s="287" t="str">
        <f>'12.lan'!D274</f>
        <v>Cd - Produktion von petrochemischen Produkte und Kunststoffen (C19, C20;C22)</v>
      </c>
      <c r="C10" s="297"/>
      <c r="D10" s="307"/>
      <c r="E10" s="308" t="s">
        <v>151</v>
      </c>
      <c r="F10" s="307"/>
      <c r="G10" s="309"/>
      <c r="H10" s="309"/>
      <c r="I10" s="301" t="s">
        <v>149</v>
      </c>
      <c r="J10" s="302"/>
      <c r="K10" s="297" t="s">
        <v>150</v>
      </c>
      <c r="L10" s="307"/>
      <c r="M10" s="303" t="s">
        <v>150</v>
      </c>
      <c r="N10" s="302"/>
      <c r="O10" s="283"/>
      <c r="P10" s="295" t="s">
        <v>151</v>
      </c>
      <c r="Q10" s="285"/>
    </row>
    <row r="11" spans="1:19" ht="20" customHeight="1">
      <c r="A11" s="296" t="s">
        <v>182</v>
      </c>
      <c r="B11" s="287" t="str">
        <f>'12.lan'!D275</f>
        <v>Ce - Produktion von pharmazeutischen Produktion und Präparaten (C21)</v>
      </c>
      <c r="C11" s="297"/>
      <c r="D11" s="307"/>
      <c r="E11" s="308" t="s">
        <v>149</v>
      </c>
      <c r="F11" s="307"/>
      <c r="G11" s="309"/>
      <c r="H11" s="309"/>
      <c r="I11" s="301" t="s">
        <v>150</v>
      </c>
      <c r="J11" s="310" t="s">
        <v>183</v>
      </c>
      <c r="K11" s="297" t="s">
        <v>150</v>
      </c>
      <c r="L11" s="307"/>
      <c r="M11" s="303" t="s">
        <v>150</v>
      </c>
      <c r="N11" s="302"/>
      <c r="O11" s="283"/>
      <c r="P11" s="295" t="s">
        <v>150</v>
      </c>
      <c r="Q11" s="285"/>
    </row>
    <row r="12" spans="1:19" ht="9.75" customHeight="1">
      <c r="A12" s="296" t="s">
        <v>184</v>
      </c>
      <c r="B12" s="287" t="str">
        <f>'12.lan'!D276</f>
        <v>Cf - Produktion nicht metallischer Mineralstoffe (C23)</v>
      </c>
      <c r="C12" s="297"/>
      <c r="D12" s="307"/>
      <c r="E12" s="308" t="s">
        <v>150</v>
      </c>
      <c r="F12" s="307"/>
      <c r="G12" s="309"/>
      <c r="H12" s="309"/>
      <c r="I12" s="301" t="s">
        <v>149</v>
      </c>
      <c r="J12" s="310"/>
      <c r="K12" s="297" t="s">
        <v>150</v>
      </c>
      <c r="L12" s="307"/>
      <c r="M12" s="303" t="s">
        <v>150</v>
      </c>
      <c r="N12" s="302"/>
      <c r="O12" s="283"/>
      <c r="P12" s="295" t="s">
        <v>150</v>
      </c>
      <c r="Q12" s="285"/>
    </row>
    <row r="13" spans="1:19" ht="9.75" customHeight="1">
      <c r="A13" s="296" t="s">
        <v>185</v>
      </c>
      <c r="B13" s="287" t="str">
        <f>'12.lan'!D277</f>
        <v>Cg - Produktion von Metallen und metallischen Produkten (exkl. Maschinen und Geräten) (C24,C25)</v>
      </c>
      <c r="C13" s="297"/>
      <c r="D13" s="307"/>
      <c r="E13" s="308" t="s">
        <v>151</v>
      </c>
      <c r="F13" s="307"/>
      <c r="G13" s="309"/>
      <c r="H13" s="309"/>
      <c r="I13" s="301" t="s">
        <v>149</v>
      </c>
      <c r="J13" s="310"/>
      <c r="K13" s="297" t="s">
        <v>150</v>
      </c>
      <c r="L13" s="307"/>
      <c r="M13" s="303" t="s">
        <v>150</v>
      </c>
      <c r="N13" s="302"/>
      <c r="O13" s="283"/>
      <c r="P13" s="295" t="s">
        <v>151</v>
      </c>
      <c r="Q13" s="285"/>
    </row>
    <row r="14" spans="1:19" ht="9.75" customHeight="1">
      <c r="A14" s="296" t="s">
        <v>186</v>
      </c>
      <c r="B14" s="287" t="str">
        <f>'12.lan'!D278</f>
        <v>Ch - Produktion von elektronischen, optischen und sonstigen Geräten und Bauteilen sowie Computer (C26,C27,C28)</v>
      </c>
      <c r="C14" s="297"/>
      <c r="D14" s="307"/>
      <c r="E14" s="308" t="s">
        <v>151</v>
      </c>
      <c r="F14" s="307"/>
      <c r="G14" s="309"/>
      <c r="H14" s="309"/>
      <c r="I14" s="301" t="s">
        <v>150</v>
      </c>
      <c r="J14" s="310"/>
      <c r="K14" s="297" t="s">
        <v>150</v>
      </c>
      <c r="L14" s="307"/>
      <c r="M14" s="303" t="s">
        <v>150</v>
      </c>
      <c r="N14" s="302"/>
      <c r="O14" s="283"/>
      <c r="P14" s="295" t="s">
        <v>151</v>
      </c>
      <c r="Q14" s="285"/>
    </row>
    <row r="15" spans="1:19" ht="20" customHeight="1">
      <c r="A15" s="296" t="s">
        <v>187</v>
      </c>
      <c r="B15" s="287" t="str">
        <f>'12.lan'!D279</f>
        <v xml:space="preserve">D - Strom-, Gas-, Dampfversorgung und Kühlung </v>
      </c>
      <c r="C15" s="297"/>
      <c r="D15" s="311"/>
      <c r="E15" s="312" t="s">
        <v>149</v>
      </c>
      <c r="F15" s="313"/>
      <c r="G15" s="314"/>
      <c r="H15" s="314"/>
      <c r="I15" s="301" t="s">
        <v>149</v>
      </c>
      <c r="J15" s="302"/>
      <c r="K15" s="297" t="s">
        <v>151</v>
      </c>
      <c r="L15" s="311" t="s">
        <v>188</v>
      </c>
      <c r="M15" s="303" t="s">
        <v>150</v>
      </c>
      <c r="N15" s="302"/>
      <c r="O15" s="283"/>
      <c r="P15" s="295" t="s">
        <v>151</v>
      </c>
      <c r="Q15" s="285"/>
    </row>
    <row r="16" spans="1:19" ht="20" customHeight="1">
      <c r="A16" s="296" t="s">
        <v>189</v>
      </c>
      <c r="B16" s="287" t="str">
        <f>'12.lan'!D280</f>
        <v>E - Wasserversorgung, Abfallwirtschaft</v>
      </c>
      <c r="C16" s="297"/>
      <c r="D16" s="298"/>
      <c r="E16" s="299" t="s">
        <v>149</v>
      </c>
      <c r="F16" s="298"/>
      <c r="G16" s="300"/>
      <c r="H16" s="300"/>
      <c r="I16" s="301" t="s">
        <v>150</v>
      </c>
      <c r="J16" s="302"/>
      <c r="K16" s="297" t="s">
        <v>150</v>
      </c>
      <c r="L16" s="298"/>
      <c r="M16" s="303" t="s">
        <v>150</v>
      </c>
      <c r="N16" s="302"/>
      <c r="O16" s="283"/>
      <c r="P16" s="295" t="s">
        <v>149</v>
      </c>
      <c r="Q16" s="285"/>
    </row>
    <row r="17" spans="1:17" ht="39.75" customHeight="1">
      <c r="A17" s="296" t="s">
        <v>190</v>
      </c>
      <c r="B17" s="287" t="str">
        <f>'12.lan'!D281</f>
        <v>F - Baugewerbe</v>
      </c>
      <c r="C17" s="297"/>
      <c r="D17" s="298"/>
      <c r="E17" s="299" t="s">
        <v>151</v>
      </c>
      <c r="F17" s="298"/>
      <c r="G17" s="300"/>
      <c r="H17" s="300"/>
      <c r="I17" s="301" t="s">
        <v>151</v>
      </c>
      <c r="J17" s="302"/>
      <c r="K17" s="297" t="s">
        <v>151</v>
      </c>
      <c r="L17" s="298" t="s">
        <v>191</v>
      </c>
      <c r="M17" s="303" t="s">
        <v>151</v>
      </c>
      <c r="N17" s="302"/>
      <c r="O17" s="283"/>
      <c r="P17" s="295" t="s">
        <v>151</v>
      </c>
      <c r="Q17" s="285"/>
    </row>
    <row r="18" spans="1:17" ht="9.75" customHeight="1">
      <c r="A18" s="296" t="s">
        <v>192</v>
      </c>
      <c r="B18" s="287" t="str">
        <f>'12.lan'!D282</f>
        <v>G - Groß- und Einzelhandel sowie Werkstätten für Kraftfahrzeuge (Anmerkung: Groß- und Einzelhandel nicht auf KFZ beschränkt)</v>
      </c>
      <c r="C18" s="297"/>
      <c r="D18" s="298"/>
      <c r="E18" s="299" t="s">
        <v>149</v>
      </c>
      <c r="F18" s="298"/>
      <c r="G18" s="300"/>
      <c r="H18" s="300"/>
      <c r="I18" s="301" t="s">
        <v>151</v>
      </c>
      <c r="J18" s="302"/>
      <c r="K18" s="297" t="s">
        <v>149</v>
      </c>
      <c r="L18" s="298"/>
      <c r="M18" s="303" t="s">
        <v>149</v>
      </c>
      <c r="N18" s="302"/>
      <c r="O18" s="283"/>
      <c r="P18" s="295" t="s">
        <v>150</v>
      </c>
      <c r="Q18" s="285"/>
    </row>
    <row r="19" spans="1:17" ht="9.75" customHeight="1">
      <c r="A19" s="296" t="s">
        <v>193</v>
      </c>
      <c r="B19" s="287" t="str">
        <f>'12.lan'!D283</f>
        <v>H - Verkehr und Lagerhaltung</v>
      </c>
      <c r="C19" s="297"/>
      <c r="D19" s="298"/>
      <c r="E19" s="299" t="s">
        <v>149</v>
      </c>
      <c r="F19" s="298"/>
      <c r="G19" s="300"/>
      <c r="H19" s="300"/>
      <c r="I19" s="301" t="s">
        <v>149</v>
      </c>
      <c r="J19" s="302"/>
      <c r="K19" s="297" t="s">
        <v>151</v>
      </c>
      <c r="L19" s="298"/>
      <c r="M19" s="303" t="s">
        <v>149</v>
      </c>
      <c r="N19" s="302"/>
      <c r="O19" s="283"/>
      <c r="P19" s="295" t="s">
        <v>150</v>
      </c>
      <c r="Q19" s="285"/>
    </row>
    <row r="20" spans="1:17" ht="9.75" customHeight="1">
      <c r="A20" s="296" t="s">
        <v>194</v>
      </c>
      <c r="B20" s="287" t="str">
        <f>'12.lan'!D284</f>
        <v>I - Beherbergung und Gastronomie</v>
      </c>
      <c r="C20" s="297"/>
      <c r="D20" s="298"/>
      <c r="E20" s="299" t="s">
        <v>150</v>
      </c>
      <c r="F20" s="298"/>
      <c r="G20" s="300"/>
      <c r="H20" s="300"/>
      <c r="I20" s="301" t="s">
        <v>149</v>
      </c>
      <c r="J20" s="302"/>
      <c r="K20" s="297" t="s">
        <v>150</v>
      </c>
      <c r="L20" s="298"/>
      <c r="M20" s="303" t="s">
        <v>149</v>
      </c>
      <c r="N20" s="302"/>
      <c r="O20" s="283"/>
      <c r="P20" s="295" t="s">
        <v>150</v>
      </c>
      <c r="Q20" s="285"/>
    </row>
    <row r="21" spans="1:17" ht="9.75" customHeight="1">
      <c r="A21" s="296" t="s">
        <v>195</v>
      </c>
      <c r="B21" s="287" t="str">
        <f>'12.lan'!D285</f>
        <v>J - Information und Kommunikation</v>
      </c>
      <c r="C21" s="297"/>
      <c r="D21" s="298"/>
      <c r="E21" s="299" t="s">
        <v>149</v>
      </c>
      <c r="F21" s="298"/>
      <c r="G21" s="300"/>
      <c r="H21" s="300"/>
      <c r="I21" s="301" t="s">
        <v>149</v>
      </c>
      <c r="J21" s="302"/>
      <c r="K21" s="297" t="s">
        <v>150</v>
      </c>
      <c r="L21" s="298"/>
      <c r="M21" s="303" t="s">
        <v>149</v>
      </c>
      <c r="N21" s="302"/>
      <c r="O21" s="283"/>
      <c r="P21" s="295" t="s">
        <v>150</v>
      </c>
      <c r="Q21" s="285"/>
    </row>
    <row r="22" spans="1:17" ht="9.75" customHeight="1">
      <c r="A22" s="296" t="s">
        <v>196</v>
      </c>
      <c r="B22" s="287" t="str">
        <f>'12.lan'!D286</f>
        <v>K - Kredit- und Finanzwesen</v>
      </c>
      <c r="C22" s="297"/>
      <c r="D22" s="298"/>
      <c r="E22" s="299" t="s">
        <v>149</v>
      </c>
      <c r="F22" s="298"/>
      <c r="G22" s="300"/>
      <c r="H22" s="300"/>
      <c r="I22" s="301" t="s">
        <v>151</v>
      </c>
      <c r="J22" s="302"/>
      <c r="K22" s="297" t="s">
        <v>149</v>
      </c>
      <c r="L22" s="298"/>
      <c r="M22" s="303" t="s">
        <v>149</v>
      </c>
      <c r="N22" s="302"/>
      <c r="O22" s="283"/>
      <c r="P22" s="295" t="s">
        <v>149</v>
      </c>
      <c r="Q22" s="285"/>
    </row>
    <row r="23" spans="1:17" ht="9.75" customHeight="1">
      <c r="A23" s="296" t="s">
        <v>197</v>
      </c>
      <c r="B23" s="287" t="str">
        <f>'12.lan'!D287</f>
        <v>L - (Immobilienwirtschaft</v>
      </c>
      <c r="C23" s="297"/>
      <c r="D23" s="298"/>
      <c r="E23" s="299" t="s">
        <v>149</v>
      </c>
      <c r="F23" s="298"/>
      <c r="G23" s="300"/>
      <c r="H23" s="300"/>
      <c r="I23" s="301" t="s">
        <v>151</v>
      </c>
      <c r="J23" s="302"/>
      <c r="K23" s="297" t="s">
        <v>149</v>
      </c>
      <c r="L23" s="298"/>
      <c r="M23" s="303" t="s">
        <v>149</v>
      </c>
      <c r="N23" s="302"/>
      <c r="O23" s="283"/>
      <c r="P23" s="295" t="s">
        <v>150</v>
      </c>
      <c r="Q23" s="285"/>
    </row>
    <row r="24" spans="1:17" ht="9.75" customHeight="1">
      <c r="A24" s="296" t="s">
        <v>198</v>
      </c>
      <c r="B24" s="287" t="str">
        <f>'12.lan'!D288</f>
        <v>M - Freiberufliche, wissenschaftliche und technische Dienstleistungen</v>
      </c>
      <c r="C24" s="297"/>
      <c r="D24" s="298"/>
      <c r="E24" s="299" t="s">
        <v>149</v>
      </c>
      <c r="F24" s="298"/>
      <c r="G24" s="300"/>
      <c r="H24" s="300"/>
      <c r="I24" s="301" t="s">
        <v>149</v>
      </c>
      <c r="J24" s="302"/>
      <c r="K24" s="297" t="s">
        <v>149</v>
      </c>
      <c r="L24" s="298"/>
      <c r="M24" s="303" t="s">
        <v>149</v>
      </c>
      <c r="N24" s="302"/>
      <c r="O24" s="283"/>
      <c r="P24" s="295" t="s">
        <v>149</v>
      </c>
      <c r="Q24" s="285"/>
    </row>
    <row r="25" spans="1:17" ht="9.75" customHeight="1">
      <c r="A25" s="296" t="s">
        <v>199</v>
      </c>
      <c r="B25" s="287" t="str">
        <f>'12.lan'!D289</f>
        <v>N - Administrative und unterstützende Dienstleistungen</v>
      </c>
      <c r="C25" s="297"/>
      <c r="D25" s="298"/>
      <c r="E25" s="299" t="s">
        <v>149</v>
      </c>
      <c r="F25" s="298"/>
      <c r="G25" s="300"/>
      <c r="H25" s="300"/>
      <c r="I25" s="301" t="s">
        <v>149</v>
      </c>
      <c r="J25" s="302"/>
      <c r="K25" s="297" t="s">
        <v>149</v>
      </c>
      <c r="L25" s="298"/>
      <c r="M25" s="303" t="s">
        <v>149</v>
      </c>
      <c r="N25" s="302"/>
      <c r="O25" s="283"/>
      <c r="P25" s="295" t="s">
        <v>149</v>
      </c>
      <c r="Q25" s="285"/>
    </row>
    <row r="26" spans="1:17" ht="11.25" customHeight="1">
      <c r="A26" s="296" t="s">
        <v>200</v>
      </c>
      <c r="B26" s="287" t="str">
        <f>'12.lan'!D290</f>
        <v>O - Öffentliche Verwaltung; Verteidigung; Sozialversicherungswesen</v>
      </c>
      <c r="C26" s="297"/>
      <c r="D26" s="298"/>
      <c r="E26" s="299" t="s">
        <v>149</v>
      </c>
      <c r="F26" s="298"/>
      <c r="G26" s="300"/>
      <c r="H26" s="300"/>
      <c r="I26" s="301" t="s">
        <v>149</v>
      </c>
      <c r="J26" s="302"/>
      <c r="K26" s="297" t="s">
        <v>149</v>
      </c>
      <c r="L26" s="298"/>
      <c r="M26" s="303" t="s">
        <v>149</v>
      </c>
      <c r="N26" s="302"/>
      <c r="O26" s="283"/>
      <c r="P26" s="295" t="s">
        <v>149</v>
      </c>
      <c r="Q26" s="285"/>
    </row>
    <row r="27" spans="1:17" ht="9.75" customHeight="1">
      <c r="A27" s="296" t="s">
        <v>201</v>
      </c>
      <c r="B27" s="287" t="str">
        <f>'12.lan'!D291</f>
        <v>P - Bildung</v>
      </c>
      <c r="C27" s="297"/>
      <c r="D27" s="298"/>
      <c r="E27" s="299" t="s">
        <v>149</v>
      </c>
      <c r="F27" s="298"/>
      <c r="G27" s="300"/>
      <c r="H27" s="300"/>
      <c r="I27" s="301" t="s">
        <v>149</v>
      </c>
      <c r="J27" s="302"/>
      <c r="K27" s="297" t="s">
        <v>149</v>
      </c>
      <c r="L27" s="298"/>
      <c r="M27" s="303" t="s">
        <v>149</v>
      </c>
      <c r="N27" s="302"/>
      <c r="O27" s="283"/>
      <c r="P27" s="295" t="s">
        <v>149</v>
      </c>
      <c r="Q27" s="285"/>
    </row>
    <row r="28" spans="1:17" ht="9.75" customHeight="1">
      <c r="A28" s="296" t="s">
        <v>202</v>
      </c>
      <c r="B28" s="287" t="str">
        <f>'12.lan'!D292</f>
        <v>Q - Gesundheit und Sozialarbeit</v>
      </c>
      <c r="C28" s="297"/>
      <c r="D28" s="298"/>
      <c r="E28" s="299" t="s">
        <v>149</v>
      </c>
      <c r="F28" s="298"/>
      <c r="G28" s="300"/>
      <c r="H28" s="300"/>
      <c r="I28" s="301" t="s">
        <v>149</v>
      </c>
      <c r="J28" s="302"/>
      <c r="K28" s="297" t="s">
        <v>149</v>
      </c>
      <c r="L28" s="298"/>
      <c r="M28" s="303" t="s">
        <v>149</v>
      </c>
      <c r="N28" s="302"/>
      <c r="O28" s="283"/>
      <c r="P28" s="295" t="s">
        <v>149</v>
      </c>
      <c r="Q28" s="285"/>
    </row>
    <row r="29" spans="1:17" ht="9.75" customHeight="1">
      <c r="A29" s="296" t="s">
        <v>203</v>
      </c>
      <c r="B29" s="287" t="str">
        <f>'12.lan'!D293</f>
        <v>R - Kunst, Unterhaltung und Erholung</v>
      </c>
      <c r="C29" s="297"/>
      <c r="D29" s="298"/>
      <c r="E29" s="299" t="s">
        <v>149</v>
      </c>
      <c r="F29" s="298"/>
      <c r="G29" s="300"/>
      <c r="H29" s="300"/>
      <c r="I29" s="301" t="s">
        <v>149</v>
      </c>
      <c r="J29" s="302"/>
      <c r="K29" s="297" t="s">
        <v>149</v>
      </c>
      <c r="L29" s="298"/>
      <c r="M29" s="303" t="s">
        <v>149</v>
      </c>
      <c r="N29" s="302"/>
      <c r="O29" s="283"/>
      <c r="P29" s="295" t="s">
        <v>149</v>
      </c>
      <c r="Q29" s="285"/>
    </row>
    <row r="30" spans="1:17" ht="9.75" customHeight="1">
      <c r="A30" s="296" t="s">
        <v>204</v>
      </c>
      <c r="B30" s="287" t="str">
        <f>'12.lan'!D294</f>
        <v>S - Andere Dienstleistungen</v>
      </c>
      <c r="C30" s="297"/>
      <c r="D30" s="298"/>
      <c r="E30" s="299" t="s">
        <v>149</v>
      </c>
      <c r="F30" s="298"/>
      <c r="G30" s="300"/>
      <c r="H30" s="300"/>
      <c r="I30" s="301" t="s">
        <v>149</v>
      </c>
      <c r="J30" s="302"/>
      <c r="K30" s="297" t="s">
        <v>149</v>
      </c>
      <c r="L30" s="298"/>
      <c r="M30" s="303" t="s">
        <v>149</v>
      </c>
      <c r="N30" s="302"/>
      <c r="O30" s="283"/>
      <c r="P30" s="295" t="s">
        <v>149</v>
      </c>
      <c r="Q30" s="285"/>
    </row>
    <row r="31" spans="1:17" ht="11.25" customHeight="1">
      <c r="A31" s="296" t="s">
        <v>205</v>
      </c>
      <c r="B31" s="287" t="str">
        <f>'12.lan'!D295</f>
        <v>T - Private Haushalte</v>
      </c>
      <c r="C31" s="297"/>
      <c r="D31" s="298"/>
      <c r="E31" s="299" t="s">
        <v>149</v>
      </c>
      <c r="F31" s="298"/>
      <c r="G31" s="300"/>
      <c r="H31" s="300"/>
      <c r="I31" s="301" t="s">
        <v>149</v>
      </c>
      <c r="J31" s="302"/>
      <c r="K31" s="297" t="s">
        <v>149</v>
      </c>
      <c r="L31" s="298"/>
      <c r="M31" s="303" t="s">
        <v>149</v>
      </c>
      <c r="N31" s="302"/>
      <c r="O31" s="315"/>
      <c r="P31" s="316" t="s">
        <v>149</v>
      </c>
      <c r="Q31" s="317"/>
    </row>
    <row r="32" spans="1:17" ht="12" customHeight="1">
      <c r="A32" s="318" t="s">
        <v>206</v>
      </c>
      <c r="B32" s="287" t="str">
        <f>'12.lan'!D296</f>
        <v>U - Exterritoriale Organisationen und Körperschaften</v>
      </c>
      <c r="C32" s="297"/>
      <c r="D32" s="298"/>
      <c r="E32" s="299" t="s">
        <v>149</v>
      </c>
      <c r="F32" s="298"/>
      <c r="G32" s="300"/>
      <c r="H32" s="300"/>
      <c r="I32" s="301" t="s">
        <v>149</v>
      </c>
      <c r="J32" s="302"/>
      <c r="K32" s="297" t="s">
        <v>149</v>
      </c>
      <c r="L32" s="298"/>
      <c r="M32" s="303" t="s">
        <v>149</v>
      </c>
      <c r="N32" s="302"/>
      <c r="O32" s="315"/>
      <c r="P32" s="316" t="s">
        <v>149</v>
      </c>
      <c r="Q32" s="317"/>
    </row>
    <row r="34" spans="1:12" ht="9.75" customHeight="1">
      <c r="A34" s="319" t="str">
        <f>'9. Weighting'!H35</f>
        <v>Bi</v>
      </c>
      <c r="B34" s="320" t="s">
        <v>207</v>
      </c>
      <c r="C34" s="321">
        <f>'9. Weighting'!I35</f>
        <v>0</v>
      </c>
      <c r="D34" s="320"/>
      <c r="E34" s="320"/>
      <c r="F34" s="320"/>
      <c r="G34" s="320"/>
      <c r="H34" s="320"/>
      <c r="I34" s="322" t="str">
        <f>IFERROR(VLOOKUP(A34,'10. Industry'!$A$4:$O$32,9,FALSE),"mittel")</f>
        <v>mittel</v>
      </c>
      <c r="J34" s="323">
        <f>VLOOKUP(I34,'9. Weighting'!$F$49:$H$53,3,FALSE)</f>
        <v>1</v>
      </c>
      <c r="K34" s="322" t="str">
        <f>IFERROR(VLOOKUP(A34,'10. Industry'!$A$4:$O$32,11,FALSE),"mittel")</f>
        <v>mittel</v>
      </c>
      <c r="L34" s="324">
        <f>VLOOKUP(K34,'9. Weighting'!$F$49:$H$53,3,FALSE)</f>
        <v>1</v>
      </c>
    </row>
    <row r="35" spans="1:12" ht="9.75" customHeight="1">
      <c r="A35" s="325" t="str">
        <f>'9. Weighting'!H36</f>
        <v>Bi</v>
      </c>
      <c r="B35" s="270" t="s">
        <v>208</v>
      </c>
      <c r="C35" s="326">
        <f>'9. Weighting'!I36</f>
        <v>0</v>
      </c>
      <c r="I35" s="271" t="str">
        <f>IFERROR(VLOOKUP(A35,'10. Industry'!$A$4:$O$32,9,FALSE),"mittel")</f>
        <v>mittel</v>
      </c>
      <c r="J35" s="327">
        <f>VLOOKUP(I35,'9. Weighting'!$F$49:$H$53,3,FALSE)</f>
        <v>1</v>
      </c>
      <c r="K35" s="271" t="str">
        <f>IFERROR(VLOOKUP(A35,'10. Industry'!$A$4:$O$32,11,FALSE),"mittel")</f>
        <v>mittel</v>
      </c>
      <c r="L35" s="328">
        <f>VLOOKUP(K35,'9. Weighting'!$F$49:$H$53,3,FALSE)</f>
        <v>1</v>
      </c>
    </row>
    <row r="36" spans="1:12" ht="9.75" customHeight="1">
      <c r="A36" s="325" t="str">
        <f>'9. Weighting'!H37</f>
        <v>Bi</v>
      </c>
      <c r="B36" s="270" t="s">
        <v>209</v>
      </c>
      <c r="C36" s="326">
        <f>'9. Weighting'!I37</f>
        <v>0</v>
      </c>
      <c r="I36" s="271" t="str">
        <f>IFERROR(VLOOKUP(A36,'10. Industry'!$A$4:$O$32,9,FALSE),"mittel")</f>
        <v>mittel</v>
      </c>
      <c r="J36" s="327">
        <f>VLOOKUP(I36,'9. Weighting'!$F$49:$H$53,3,FALSE)</f>
        <v>1</v>
      </c>
      <c r="K36" s="271" t="str">
        <f>IFERROR(VLOOKUP(A36,'10. Industry'!$A$4:$O$32,11,FALSE),"mittel")</f>
        <v>mittel</v>
      </c>
      <c r="L36" s="328">
        <f>VLOOKUP(K36,'9. Weighting'!$F$49:$H$53,3,FALSE)</f>
        <v>1</v>
      </c>
    </row>
    <row r="37" spans="1:12" ht="9.75" customHeight="1">
      <c r="A37" s="325"/>
      <c r="C37" s="329">
        <f>1-SUM(C34:C36)</f>
        <v>1</v>
      </c>
      <c r="I37" s="271" t="s">
        <v>149</v>
      </c>
      <c r="J37" s="327">
        <f>VLOOKUP(I37,'9. Weighting'!$F$49:$H$53,3,FALSE)</f>
        <v>1</v>
      </c>
      <c r="K37" s="271" t="s">
        <v>149</v>
      </c>
      <c r="L37" s="328">
        <f>VLOOKUP(K37,'9. Weighting'!$F$49:$H$53,3,FALSE)</f>
        <v>1</v>
      </c>
    </row>
    <row r="38" spans="1:12" ht="9.75" customHeight="1">
      <c r="A38" s="325"/>
      <c r="C38" s="329">
        <f>SUM(C34:C37)</f>
        <v>1</v>
      </c>
      <c r="J38" s="327">
        <f>C34*J34+C35*J35+C36*J36+C37*J37</f>
        <v>1</v>
      </c>
      <c r="L38" s="328">
        <f>C34*L34+C35*L35+C36*L36+C37*L37</f>
        <v>1</v>
      </c>
    </row>
    <row r="39" spans="1:12" ht="9.75" customHeight="1">
      <c r="A39" s="330"/>
      <c r="B39" s="331" t="s">
        <v>210</v>
      </c>
      <c r="C39" s="332"/>
      <c r="D39" s="333"/>
      <c r="E39" s="333"/>
      <c r="F39" s="333"/>
      <c r="G39" s="333"/>
      <c r="H39" s="333"/>
      <c r="I39" s="332"/>
      <c r="J39" s="333" t="str">
        <f>IF(J38&lt;0.75,"niedrig",IF(J38&lt;1.25,"mittel",IF(J38&gt;1.75,"sehr hoch","hoch")))</f>
        <v>mittel</v>
      </c>
      <c r="K39" s="332"/>
      <c r="L39" s="334" t="str">
        <f>IF(L38&lt;0.75,"niedrig",IF(L38&lt;1.25,"mittel",IF(L38&gt;1.75,"sehr hoch","hoch")))</f>
        <v>mittel</v>
      </c>
    </row>
  </sheetData>
  <sheetProtection algorithmName="SHA-512" hashValue="U1QZvDKQejOUEc24QOIUJuT39OwChEmMEg2V/4cXZRf9glqD4oU43yH/aLCJD46sLNsP7YvNpOEO0nktUq+2QQ==" saltValue="KxBDek/9k4jFlbsxpgjfTQ==" spinCount="100000" sheet="1" objects="1" scenarios="1"/>
  <mergeCells count="9">
    <mergeCell ref="R2:S2"/>
    <mergeCell ref="A1:Q1"/>
    <mergeCell ref="C2:D2"/>
    <mergeCell ref="E2:F2"/>
    <mergeCell ref="G2:H2"/>
    <mergeCell ref="I2:J2"/>
    <mergeCell ref="K2:L2"/>
    <mergeCell ref="M2:N2"/>
    <mergeCell ref="O2:Q2"/>
  </mergeCells>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Q293"/>
  <sheetViews>
    <sheetView topLeftCell="B7" zoomScaleNormal="100" workbookViewId="0">
      <pane ySplit="1500"/>
      <selection activeCell="B3" sqref="B3:B8"/>
      <selection pane="bottomLeft" activeCell="K14" sqref="K14"/>
    </sheetView>
  </sheetViews>
  <sheetFormatPr baseColWidth="10" defaultColWidth="10.33203125" defaultRowHeight="9.75" customHeight="1"/>
  <cols>
    <col min="1" max="1" width="18" style="335" customWidth="1"/>
    <col min="2" max="3" width="16.33203125" style="336" customWidth="1"/>
    <col min="4" max="4" width="19.33203125" style="336" customWidth="1"/>
    <col min="5" max="5" width="22.33203125" style="336" customWidth="1"/>
    <col min="6" max="6" width="20.33203125" style="336" customWidth="1"/>
    <col min="7" max="7" width="10.33203125" style="336" customWidth="1"/>
    <col min="8" max="9" width="10.33203125" style="335" customWidth="1"/>
    <col min="10" max="10" width="10.83203125" style="335" customWidth="1"/>
    <col min="11" max="16384" width="10.33203125" style="335"/>
  </cols>
  <sheetData>
    <row r="1" spans="1:17" ht="27" customHeight="1">
      <c r="A1" s="562" t="s">
        <v>211</v>
      </c>
      <c r="B1" s="562"/>
      <c r="C1" s="562"/>
      <c r="D1" s="562"/>
      <c r="E1" s="562"/>
      <c r="F1" s="562"/>
      <c r="G1" s="562"/>
    </row>
    <row r="2" spans="1:17" ht="34.5" customHeight="1">
      <c r="A2" s="337"/>
      <c r="B2" s="338" t="s">
        <v>212</v>
      </c>
      <c r="C2" s="339" t="s">
        <v>213</v>
      </c>
      <c r="D2" s="339" t="s">
        <v>214</v>
      </c>
      <c r="E2" s="338" t="s">
        <v>215</v>
      </c>
      <c r="F2" s="338" t="s">
        <v>216</v>
      </c>
      <c r="G2" s="338" t="s">
        <v>217</v>
      </c>
      <c r="H2" s="340" t="s">
        <v>218</v>
      </c>
      <c r="I2" s="341" t="s">
        <v>219</v>
      </c>
      <c r="J2" s="342" t="s">
        <v>110</v>
      </c>
      <c r="K2" s="343" t="s">
        <v>220</v>
      </c>
      <c r="L2" s="563" t="s">
        <v>221</v>
      </c>
      <c r="M2" s="563"/>
      <c r="N2" s="563"/>
      <c r="O2" s="564" t="s">
        <v>222</v>
      </c>
      <c r="P2" s="564"/>
      <c r="Q2" s="564"/>
    </row>
    <row r="3" spans="1:17" ht="9.75" customHeight="1">
      <c r="A3" s="337" t="s">
        <v>223</v>
      </c>
      <c r="B3" s="565">
        <f>'9. Weighting'!I10</f>
        <v>0</v>
      </c>
      <c r="C3" s="344">
        <f>'9. Weighting'!I13</f>
        <v>0</v>
      </c>
      <c r="D3" s="345" t="str">
        <f>'9. Weighting'!H13</f>
        <v>Bitte Auswählen</v>
      </c>
      <c r="E3" s="346">
        <f t="shared" ref="E3:E8" si="0">IFERROR(VLOOKUP(D3,$A$22:$G$400,3,FALSE),$C$243)</f>
        <v>1.0030456687149514</v>
      </c>
      <c r="F3" s="347">
        <f t="shared" ref="F3:F8" si="1">IFERROR(C3*E3,"0")</f>
        <v>0</v>
      </c>
      <c r="G3" s="566">
        <f>SUM(F3:F8)</f>
        <v>0</v>
      </c>
      <c r="H3" s="349" t="str">
        <f t="shared" ref="H3:H8" si="2">IFERROR(F3/$G$3,"-")</f>
        <v>-</v>
      </c>
      <c r="I3" s="335">
        <f>IFERROR(VLOOKUP(D3,$A$21:$I$242,6,FALSE),2.99)</f>
        <v>2.99</v>
      </c>
      <c r="J3" s="350" t="str">
        <f>'9. Weighting'!E13</f>
        <v>Bi</v>
      </c>
      <c r="K3" s="335" t="str">
        <f>'9. Weighting'!G13</f>
        <v>bitte einfügen</v>
      </c>
      <c r="L3" s="335">
        <f>IFERROR(VLOOKUP(J3,'10. Industry'!$A$4:$P$32,16,FALSE),'3. Calc'!C104)</f>
        <v>1</v>
      </c>
      <c r="M3" s="335" t="e">
        <f>VLOOKUP(L3,'9. Weighting'!$F$49:$H$53,3,FALSE)</f>
        <v>#N/A</v>
      </c>
      <c r="N3" s="351" t="e">
        <f>M3*H3</f>
        <v>#N/A</v>
      </c>
      <c r="O3" s="335">
        <f>IFERROR(VLOOKUP(J3,'10. Industry'!$A$4:$N$32,5,FALSE),'3. Calc'!C104)</f>
        <v>1</v>
      </c>
      <c r="P3" s="335" t="e">
        <f>VLOOKUP(O3,'9. Weighting'!$F$49:$H$53,3,FALSE)</f>
        <v>#N/A</v>
      </c>
      <c r="Q3" s="352" t="e">
        <f>P3*H3</f>
        <v>#N/A</v>
      </c>
    </row>
    <row r="4" spans="1:17" ht="9.75" customHeight="1">
      <c r="A4" s="337" t="s">
        <v>224</v>
      </c>
      <c r="B4" s="565"/>
      <c r="C4" s="344">
        <f>'9. Weighting'!I14</f>
        <v>0</v>
      </c>
      <c r="D4" s="345" t="str">
        <f>'9. Weighting'!H14</f>
        <v>Bitte Auswählen</v>
      </c>
      <c r="E4" s="346">
        <f t="shared" si="0"/>
        <v>1.0030456687149514</v>
      </c>
      <c r="F4" s="347">
        <f t="shared" si="1"/>
        <v>0</v>
      </c>
      <c r="G4" s="566"/>
      <c r="H4" s="349" t="str">
        <f t="shared" si="2"/>
        <v>-</v>
      </c>
      <c r="I4" s="335">
        <f t="shared" ref="I4:I8" si="3">IFERROR(VLOOKUP(D4,$A$21:$I$242,6,FALSE),2.99)</f>
        <v>2.99</v>
      </c>
      <c r="J4" s="350" t="str">
        <f>'9. Weighting'!E14</f>
        <v>Bi</v>
      </c>
      <c r="K4" s="335" t="str">
        <f>'9. Weighting'!G14</f>
        <v>bitte einfügen</v>
      </c>
      <c r="L4" s="335">
        <f>IFERROR(VLOOKUP(J4,'10. Industry'!$A$4:$P$32,16,FALSE),'3. Calc'!C104)</f>
        <v>1</v>
      </c>
      <c r="M4" s="335" t="e">
        <f>VLOOKUP(L4,'9. Weighting'!$F$49:$H$53,3,FALSE)</f>
        <v>#N/A</v>
      </c>
      <c r="N4" s="351" t="e">
        <f>M4*H4</f>
        <v>#N/A</v>
      </c>
      <c r="O4" s="335">
        <f>IFERROR(VLOOKUP(J4,'10. Industry'!$A$4:$N$32,5,FALSE),'3. Calc'!C104)</f>
        <v>1</v>
      </c>
      <c r="P4" s="335" t="e">
        <f>VLOOKUP(O4,'9. Weighting'!$F$49:$H$53,3,FALSE)</f>
        <v>#N/A</v>
      </c>
      <c r="Q4" s="352" t="e">
        <f>P4*H4</f>
        <v>#N/A</v>
      </c>
    </row>
    <row r="5" spans="1:17" ht="9.75" customHeight="1">
      <c r="A5" s="337" t="s">
        <v>225</v>
      </c>
      <c r="B5" s="565"/>
      <c r="C5" s="344">
        <f>'9. Weighting'!I15</f>
        <v>0</v>
      </c>
      <c r="D5" s="345" t="str">
        <f>'9. Weighting'!H15</f>
        <v>Bitte Auswählen</v>
      </c>
      <c r="E5" s="346">
        <f t="shared" si="0"/>
        <v>1.0030456687149514</v>
      </c>
      <c r="F5" s="347">
        <f t="shared" si="1"/>
        <v>0</v>
      </c>
      <c r="G5" s="566"/>
      <c r="H5" s="349" t="str">
        <f t="shared" si="2"/>
        <v>-</v>
      </c>
      <c r="I5" s="335">
        <f t="shared" si="3"/>
        <v>2.99</v>
      </c>
      <c r="J5" s="350" t="str">
        <f>'9. Weighting'!E15</f>
        <v>Bi</v>
      </c>
      <c r="K5" s="335" t="str">
        <f>'9. Weighting'!G15</f>
        <v>bitte einfügen</v>
      </c>
      <c r="L5" s="335">
        <f>IFERROR(VLOOKUP(J5,'10. Industry'!$A$4:$P$32,16,FALSE),'3. Calc'!C104)</f>
        <v>1</v>
      </c>
      <c r="M5" s="335" t="e">
        <f>VLOOKUP(L5,'9. Weighting'!$F$49:$H$53,3,FALSE)</f>
        <v>#N/A</v>
      </c>
      <c r="N5" s="351" t="e">
        <f>M5*H5</f>
        <v>#N/A</v>
      </c>
      <c r="O5" s="335">
        <f>IFERROR(VLOOKUP(J5,'10. Industry'!$A$4:$N$32,5,FALSE),'3. Calc'!C104)</f>
        <v>1</v>
      </c>
      <c r="P5" s="335" t="e">
        <f>VLOOKUP(O5,'9. Weighting'!$F$49:$H$53,3,FALSE)</f>
        <v>#N/A</v>
      </c>
      <c r="Q5" s="352" t="e">
        <f>P5*H5</f>
        <v>#N/A</v>
      </c>
    </row>
    <row r="6" spans="1:17" ht="9.75" customHeight="1">
      <c r="A6" s="337" t="s">
        <v>226</v>
      </c>
      <c r="B6" s="565"/>
      <c r="C6" s="344">
        <f>'9. Weighting'!I16</f>
        <v>0</v>
      </c>
      <c r="D6" s="345" t="str">
        <f>'9. Weighting'!H16</f>
        <v>Bitte Auswählen</v>
      </c>
      <c r="E6" s="346">
        <f t="shared" si="0"/>
        <v>1.0030456687149514</v>
      </c>
      <c r="F6" s="347">
        <f t="shared" si="1"/>
        <v>0</v>
      </c>
      <c r="G6" s="566"/>
      <c r="H6" s="349" t="str">
        <f t="shared" si="2"/>
        <v>-</v>
      </c>
      <c r="I6" s="335">
        <f t="shared" si="3"/>
        <v>2.99</v>
      </c>
      <c r="J6" s="350" t="str">
        <f>'9. Weighting'!E16</f>
        <v>Bi</v>
      </c>
      <c r="K6" s="335" t="str">
        <f>'9. Weighting'!G16</f>
        <v>bitte einfügen</v>
      </c>
      <c r="L6" s="335">
        <f>IFERROR(VLOOKUP(J6,'10. Industry'!$A$4:$P$32,16,FALSE),'3. Calc'!C104)</f>
        <v>1</v>
      </c>
      <c r="M6" s="335" t="e">
        <f>VLOOKUP(L6,'9. Weighting'!$F$49:$H$53,3,FALSE)</f>
        <v>#N/A</v>
      </c>
      <c r="N6" s="351" t="e">
        <f>M6*H6</f>
        <v>#N/A</v>
      </c>
      <c r="O6" s="335">
        <f>IFERROR(VLOOKUP(J6,'10. Industry'!$A$4:$N$32,5,FALSE),'3. Calc'!C104)</f>
        <v>1</v>
      </c>
      <c r="P6" s="335" t="e">
        <f>VLOOKUP(O6,'9. Weighting'!$F$49:$H$53,3,FALSE)</f>
        <v>#N/A</v>
      </c>
      <c r="Q6" s="352" t="e">
        <f>P6*H6</f>
        <v>#N/A</v>
      </c>
    </row>
    <row r="7" spans="1:17" ht="12" customHeight="1">
      <c r="A7" s="337" t="s">
        <v>227</v>
      </c>
      <c r="B7" s="565"/>
      <c r="C7" s="344">
        <f>'9. Weighting'!I17</f>
        <v>0</v>
      </c>
      <c r="D7" s="345" t="str">
        <f>'9. Weighting'!H17</f>
        <v>Bitte Auswählen</v>
      </c>
      <c r="E7" s="346">
        <f t="shared" si="0"/>
        <v>1.0030456687149514</v>
      </c>
      <c r="F7" s="347">
        <f t="shared" si="1"/>
        <v>0</v>
      </c>
      <c r="G7" s="566"/>
      <c r="H7" s="349" t="str">
        <f t="shared" si="2"/>
        <v>-</v>
      </c>
      <c r="I7" s="335">
        <f t="shared" si="3"/>
        <v>2.99</v>
      </c>
      <c r="J7" s="350" t="str">
        <f>'9. Weighting'!E17</f>
        <v>Bi</v>
      </c>
      <c r="K7" s="335" t="str">
        <f>'9. Weighting'!G17</f>
        <v>bitte einfügen</v>
      </c>
      <c r="L7" s="335">
        <f>IFERROR(VLOOKUP(J7,'10. Industry'!$A$4:$P$32,16,FALSE),'3. Calc'!C104)</f>
        <v>1</v>
      </c>
      <c r="M7" s="335" t="e">
        <f>VLOOKUP(L7,'9. Weighting'!$F$49:$H$53,3,FALSE)</f>
        <v>#N/A</v>
      </c>
      <c r="N7" s="351" t="e">
        <f>M7*H7</f>
        <v>#N/A</v>
      </c>
      <c r="O7" s="335">
        <f>IFERROR(VLOOKUP(J7,'10. Industry'!$A$4:$N$32,5,FALSE),'3. Calc'!C104)</f>
        <v>1</v>
      </c>
      <c r="P7" s="335" t="e">
        <f>VLOOKUP(O7,'9. Weighting'!$F$49:$H$53,3,FALSE)</f>
        <v>#N/A</v>
      </c>
      <c r="Q7" s="352" t="e">
        <f>P7*H7</f>
        <v>#N/A</v>
      </c>
    </row>
    <row r="8" spans="1:17" ht="17" customHeight="1">
      <c r="A8" s="353" t="s">
        <v>228</v>
      </c>
      <c r="B8" s="565"/>
      <c r="C8" s="354">
        <f>'9. Weighting'!I18</f>
        <v>0</v>
      </c>
      <c r="D8" s="355" t="str">
        <f>'9. Weighting'!H18</f>
        <v>Bitte Auswählen</v>
      </c>
      <c r="E8" s="346">
        <f t="shared" si="0"/>
        <v>1.0030456687149514</v>
      </c>
      <c r="F8" s="348">
        <f t="shared" si="1"/>
        <v>0</v>
      </c>
      <c r="G8" s="566"/>
      <c r="H8" s="349" t="str">
        <f t="shared" si="2"/>
        <v>-</v>
      </c>
      <c r="I8" s="335">
        <f t="shared" si="3"/>
        <v>2.99</v>
      </c>
      <c r="J8" s="567" t="s">
        <v>229</v>
      </c>
      <c r="K8" s="567"/>
      <c r="L8" s="567"/>
      <c r="M8" s="567"/>
      <c r="N8" s="356">
        <f>IFERROR((SUM(N3:N7)*1)/SUM(H3:H7),1)</f>
        <v>1</v>
      </c>
      <c r="O8" s="357"/>
      <c r="P8" s="357"/>
      <c r="Q8" s="356">
        <f>IFERROR((SUM(Q3:Q7)*1)/SUM(H3:H7),1)</f>
        <v>1</v>
      </c>
    </row>
    <row r="9" spans="1:17" ht="11" customHeight="1">
      <c r="A9" s="358"/>
      <c r="B9" s="359"/>
      <c r="C9" s="359"/>
      <c r="D9" s="359"/>
      <c r="E9" s="360"/>
      <c r="F9" s="359"/>
      <c r="G9" s="359"/>
      <c r="H9" s="349"/>
      <c r="I9" s="361">
        <f>IFERROR(I3*H3+I4*H4+I5*H5+I6*H6+I7*H7+I8*H8,I21)</f>
        <v>0</v>
      </c>
    </row>
    <row r="10" spans="1:17" ht="11" customHeight="1">
      <c r="A10" s="362" t="s">
        <v>230</v>
      </c>
      <c r="B10" s="363">
        <f>'9. Weighting'!I25</f>
        <v>0</v>
      </c>
      <c r="C10" s="364">
        <f>'2. Company Facts'!D30</f>
        <v>0</v>
      </c>
      <c r="D10" s="365" t="str">
        <f>'2. Company Facts'!B30</f>
        <v>Bitte Auswählen</v>
      </c>
      <c r="E10" s="346">
        <f>IFERROR(VLOOKUP(D10,$A$22:$G$400,3,FALSE),$C$243)</f>
        <v>1.0030456687149514</v>
      </c>
      <c r="F10" s="366">
        <f>C10*E10*B10</f>
        <v>0</v>
      </c>
      <c r="G10" s="366">
        <f>F10+F11+F12+F13</f>
        <v>0</v>
      </c>
      <c r="H10" s="367">
        <f>SUM(H3:H8)</f>
        <v>0</v>
      </c>
      <c r="I10" s="335">
        <f>IFERROR(VLOOKUP(D10,$A$21:$I$134,6,FALSE),I28)</f>
        <v>0</v>
      </c>
    </row>
    <row r="11" spans="1:17" ht="9.75" customHeight="1">
      <c r="A11" s="368"/>
      <c r="B11" s="369"/>
      <c r="C11" s="364">
        <f>'2. Company Facts'!D31</f>
        <v>0</v>
      </c>
      <c r="D11" s="365" t="str">
        <f>'2. Company Facts'!B31</f>
        <v>Bitte Auswählen</v>
      </c>
      <c r="E11" s="346">
        <f>IFERROR(VLOOKUP(D11,$A$22:$G$400,3,FALSE),$C$243)</f>
        <v>1.0030456687149514</v>
      </c>
      <c r="F11" s="366">
        <f>C11*E11*B10</f>
        <v>0</v>
      </c>
      <c r="G11" s="359"/>
      <c r="H11" s="367"/>
      <c r="I11" s="335">
        <f>IFERROR(VLOOKUP(D11,$A$21:$I$134,6,FALSE),I29)</f>
        <v>0</v>
      </c>
    </row>
    <row r="12" spans="1:17" ht="9.75" customHeight="1">
      <c r="A12" s="368"/>
      <c r="B12" s="369"/>
      <c r="C12" s="364">
        <f>'2. Company Facts'!D32</f>
        <v>0</v>
      </c>
      <c r="D12" s="365" t="str">
        <f>'2. Company Facts'!B32</f>
        <v>Bitte Auswählen</v>
      </c>
      <c r="E12" s="346">
        <f>IFERROR(VLOOKUP(D12,$A$22:$G$400,3,FALSE),$C$243)</f>
        <v>1.0030456687149514</v>
      </c>
      <c r="F12" s="366">
        <f>C12*E12*B10</f>
        <v>0</v>
      </c>
      <c r="G12" s="359"/>
      <c r="H12" s="367"/>
      <c r="I12" s="335">
        <f>IFERROR(VLOOKUP(D12,$A$21:$I$134,6,FALSE),I30)</f>
        <v>0</v>
      </c>
    </row>
    <row r="13" spans="1:17" ht="9.75" customHeight="1">
      <c r="A13" s="368"/>
      <c r="B13" s="369"/>
      <c r="C13" s="370">
        <f>1-C10-C11-C12</f>
        <v>1</v>
      </c>
      <c r="D13" s="369" t="str">
        <f>A21</f>
        <v>Country Code</v>
      </c>
      <c r="E13" s="346">
        <f>IFERROR(VLOOKUP(D13,$A$22:$G$400,3,FALSE),$C$243)</f>
        <v>1.0030456687149514</v>
      </c>
      <c r="F13" s="366">
        <f>C13*E13*B10</f>
        <v>0</v>
      </c>
      <c r="G13" s="359"/>
      <c r="H13" s="367"/>
      <c r="I13" s="335">
        <f>IFERROR(VLOOKUP(D13,$A$21:$I$134,9,FALSE),"0")</f>
        <v>0</v>
      </c>
    </row>
    <row r="14" spans="1:17" ht="9.75" customHeight="1">
      <c r="A14" s="335" t="s">
        <v>231</v>
      </c>
      <c r="I14" s="371">
        <f>I10*C10+I11*C11+I12*C12+I13*C13</f>
        <v>0</v>
      </c>
    </row>
    <row r="17" spans="1:10" ht="25.5" customHeight="1">
      <c r="A17" s="372" t="s">
        <v>232</v>
      </c>
      <c r="B17" s="372"/>
      <c r="C17" s="372"/>
      <c r="D17" s="372"/>
      <c r="E17" s="372"/>
      <c r="F17" s="372"/>
      <c r="G17" s="372"/>
      <c r="H17" s="372"/>
    </row>
    <row r="18" spans="1:10" ht="9.75" customHeight="1">
      <c r="A18" s="373" t="s">
        <v>233</v>
      </c>
      <c r="B18" s="373" t="s">
        <v>234</v>
      </c>
      <c r="C18" s="373"/>
      <c r="D18" s="373"/>
      <c r="E18" s="373"/>
      <c r="F18" s="373"/>
      <c r="G18" s="373"/>
      <c r="H18" s="374"/>
    </row>
    <row r="19" spans="1:10" ht="9.75" customHeight="1">
      <c r="A19" s="373" t="s">
        <v>235</v>
      </c>
      <c r="B19" s="375" t="s">
        <v>236</v>
      </c>
      <c r="C19" s="375"/>
      <c r="D19" s="373"/>
      <c r="E19" s="376" t="s">
        <v>237</v>
      </c>
      <c r="F19" s="377"/>
      <c r="G19" s="373"/>
      <c r="H19" s="374" t="s">
        <v>238</v>
      </c>
    </row>
    <row r="20" spans="1:10" ht="9.75" customHeight="1">
      <c r="A20" s="373"/>
      <c r="B20" s="373"/>
      <c r="C20" s="373"/>
      <c r="D20" s="373"/>
      <c r="E20" s="373"/>
      <c r="F20" s="373"/>
      <c r="G20" s="373"/>
      <c r="H20" s="374"/>
    </row>
    <row r="21" spans="1:10" ht="9.75" customHeight="1">
      <c r="A21" s="378" t="s">
        <v>239</v>
      </c>
      <c r="B21" s="378" t="s">
        <v>240</v>
      </c>
      <c r="C21" s="379" t="s">
        <v>3035</v>
      </c>
      <c r="D21" s="379"/>
      <c r="E21" s="378" t="s">
        <v>112</v>
      </c>
      <c r="F21" s="379" t="s">
        <v>3036</v>
      </c>
      <c r="G21" s="380"/>
      <c r="H21" s="381"/>
      <c r="I21" s="382"/>
      <c r="J21" s="382" t="s">
        <v>241</v>
      </c>
    </row>
    <row r="22" spans="1:10" ht="9.75" customHeight="1">
      <c r="A22" s="380" t="str">
        <f>'12.lan'!D339</f>
        <v>ABW Aruba</v>
      </c>
      <c r="B22" s="380" t="s">
        <v>242</v>
      </c>
      <c r="C22" s="383">
        <v>1.5393770180999498</v>
      </c>
      <c r="D22" s="380">
        <v>2017</v>
      </c>
      <c r="E22" s="380" t="s">
        <v>244</v>
      </c>
      <c r="F22" s="383">
        <v>3.52</v>
      </c>
      <c r="G22" s="383" t="s">
        <v>243</v>
      </c>
      <c r="H22" s="336"/>
      <c r="I22" s="382"/>
      <c r="J22" s="380" t="s">
        <v>245</v>
      </c>
    </row>
    <row r="23" spans="1:10" ht="9.75" customHeight="1">
      <c r="A23" s="380" t="str">
        <f>'12.lan'!D340</f>
        <v>AFG Afghanistan</v>
      </c>
      <c r="B23" s="380" t="s">
        <v>246</v>
      </c>
      <c r="C23" s="383">
        <v>3.4673948654718481</v>
      </c>
      <c r="D23" s="380" t="s">
        <v>153</v>
      </c>
      <c r="E23" s="380" t="s">
        <v>247</v>
      </c>
      <c r="F23" s="383">
        <v>5</v>
      </c>
      <c r="G23" s="383" t="s">
        <v>243</v>
      </c>
      <c r="H23" s="336"/>
      <c r="I23" s="382"/>
      <c r="J23" s="380" t="s">
        <v>248</v>
      </c>
    </row>
    <row r="24" spans="1:10" ht="9.75" customHeight="1">
      <c r="A24" s="380" t="str">
        <f>'12.lan'!D341</f>
        <v>AGO Angola</v>
      </c>
      <c r="B24" s="380" t="s">
        <v>249</v>
      </c>
      <c r="C24" s="383">
        <v>1.9978683824205976</v>
      </c>
      <c r="D24" s="380" t="s">
        <v>153</v>
      </c>
      <c r="E24" s="380" t="s">
        <v>250</v>
      </c>
      <c r="F24" s="383">
        <v>4</v>
      </c>
      <c r="G24" s="383"/>
      <c r="H24" s="381"/>
      <c r="I24" s="382"/>
      <c r="J24" s="380" t="s">
        <v>251</v>
      </c>
    </row>
    <row r="25" spans="1:10" ht="9.75" customHeight="1">
      <c r="A25" s="380" t="str">
        <f>'12.lan'!D342</f>
        <v>ALB Albanien</v>
      </c>
      <c r="B25" s="380" t="s">
        <v>252</v>
      </c>
      <c r="C25" s="383">
        <v>2.6310494251530692</v>
      </c>
      <c r="D25" s="380" t="s">
        <v>153</v>
      </c>
      <c r="E25" s="380" t="s">
        <v>253</v>
      </c>
      <c r="F25" s="383">
        <v>3</v>
      </c>
      <c r="G25" s="383"/>
      <c r="H25" s="336"/>
      <c r="I25" s="382"/>
      <c r="J25" s="380" t="s">
        <v>254</v>
      </c>
    </row>
    <row r="26" spans="1:10" ht="9.75" customHeight="1">
      <c r="A26" s="380" t="str">
        <f>'12.lan'!D343</f>
        <v>AND Andorra</v>
      </c>
      <c r="B26" s="380" t="s">
        <v>255</v>
      </c>
      <c r="C26" s="383">
        <v>1.0331402674066741</v>
      </c>
      <c r="D26" s="380" t="s">
        <v>243</v>
      </c>
      <c r="E26" s="380" t="s">
        <v>253</v>
      </c>
      <c r="F26" s="383">
        <v>2.5499999999999998</v>
      </c>
      <c r="G26" s="383" t="s">
        <v>243</v>
      </c>
      <c r="H26" s="381"/>
      <c r="I26" s="382"/>
      <c r="J26" s="380" t="s">
        <v>256</v>
      </c>
    </row>
    <row r="27" spans="1:10" ht="9.75" customHeight="1">
      <c r="A27" s="380" t="str">
        <f>'12.lan'!D344</f>
        <v>ARE Vereinigte Arabische Emirate</v>
      </c>
      <c r="B27" s="380" t="s">
        <v>257</v>
      </c>
      <c r="C27" s="383">
        <v>1.8408719718495921</v>
      </c>
      <c r="D27" s="380" t="s">
        <v>153</v>
      </c>
      <c r="E27" s="380" t="s">
        <v>247</v>
      </c>
      <c r="F27" s="383">
        <v>5</v>
      </c>
      <c r="G27" s="383"/>
      <c r="H27" s="381"/>
      <c r="I27" s="382"/>
      <c r="J27" s="380" t="s">
        <v>258</v>
      </c>
    </row>
    <row r="28" spans="1:10" ht="9.75" customHeight="1">
      <c r="A28" s="380" t="str">
        <f>'12.lan'!D345</f>
        <v>ARG Argentinien</v>
      </c>
      <c r="B28" s="380" t="s">
        <v>259</v>
      </c>
      <c r="C28" s="383">
        <v>2.0521283416695084</v>
      </c>
      <c r="D28" s="380" t="s">
        <v>153</v>
      </c>
      <c r="E28" s="380" t="s">
        <v>244</v>
      </c>
      <c r="F28" s="383">
        <v>4</v>
      </c>
      <c r="G28" s="383"/>
      <c r="H28" s="336"/>
      <c r="J28" s="380" t="s">
        <v>260</v>
      </c>
    </row>
    <row r="29" spans="1:10" ht="9.75" customHeight="1">
      <c r="A29" s="380" t="str">
        <f>'12.lan'!D346</f>
        <v>ARM Armenien</v>
      </c>
      <c r="B29" s="380" t="s">
        <v>261</v>
      </c>
      <c r="C29" s="383">
        <v>2.3471442323557876</v>
      </c>
      <c r="D29" s="380" t="s">
        <v>153</v>
      </c>
      <c r="E29" s="380" t="s">
        <v>247</v>
      </c>
      <c r="F29" s="383">
        <v>4.47</v>
      </c>
      <c r="G29" s="383" t="s">
        <v>243</v>
      </c>
      <c r="H29" s="336"/>
      <c r="J29" s="380" t="s">
        <v>262</v>
      </c>
    </row>
    <row r="30" spans="1:10" ht="9.75" customHeight="1">
      <c r="A30" s="380" t="str">
        <f>'12.lan'!D347</f>
        <v>ASM Amerikanisch-Samoa</v>
      </c>
      <c r="B30" s="380" t="s">
        <v>263</v>
      </c>
      <c r="C30" s="383">
        <v>1.4985868712925843</v>
      </c>
      <c r="D30" s="380" t="s">
        <v>243</v>
      </c>
      <c r="E30" s="380" t="s">
        <v>264</v>
      </c>
      <c r="F30" s="383">
        <v>4.05</v>
      </c>
      <c r="G30" s="383"/>
      <c r="H30" s="336"/>
      <c r="J30" s="380" t="s">
        <v>265</v>
      </c>
    </row>
    <row r="31" spans="1:10" ht="9.75" customHeight="1">
      <c r="A31" s="380" t="str">
        <f>'12.lan'!D348</f>
        <v>ATG Antigua und Barbuda</v>
      </c>
      <c r="B31" s="380" t="s">
        <v>266</v>
      </c>
      <c r="C31" s="383">
        <v>1.7752454029572589</v>
      </c>
      <c r="D31" s="380" t="s">
        <v>153</v>
      </c>
      <c r="E31" s="380" t="s">
        <v>244</v>
      </c>
      <c r="F31" s="383">
        <v>3.52</v>
      </c>
      <c r="G31" s="383" t="s">
        <v>243</v>
      </c>
      <c r="H31" s="336"/>
      <c r="J31" s="380" t="s">
        <v>267</v>
      </c>
    </row>
    <row r="32" spans="1:10" ht="9.75" customHeight="1">
      <c r="A32" s="380" t="str">
        <f>'12.lan'!D349</f>
        <v>AUS Australien</v>
      </c>
      <c r="B32" s="380" t="s">
        <v>268</v>
      </c>
      <c r="C32" s="383">
        <v>0.90888933214971579</v>
      </c>
      <c r="D32" s="380" t="s">
        <v>153</v>
      </c>
      <c r="E32" s="380" t="s">
        <v>264</v>
      </c>
      <c r="F32" s="383">
        <v>3</v>
      </c>
      <c r="G32" s="383" t="s">
        <v>243</v>
      </c>
      <c r="H32" s="336"/>
      <c r="J32" s="380" t="s">
        <v>269</v>
      </c>
    </row>
    <row r="33" spans="1:10" ht="9.75" customHeight="1">
      <c r="A33" s="380" t="str">
        <f>'12.lan'!D350</f>
        <v>AUT Österreich</v>
      </c>
      <c r="B33" s="380" t="s">
        <v>270</v>
      </c>
      <c r="C33" s="383">
        <v>1.1086532023707585</v>
      </c>
      <c r="D33" s="380" t="s">
        <v>153</v>
      </c>
      <c r="E33" s="380" t="s">
        <v>253</v>
      </c>
      <c r="F33" s="383">
        <v>1</v>
      </c>
      <c r="G33" s="383"/>
      <c r="H33" s="336"/>
      <c r="J33" s="380" t="s">
        <v>271</v>
      </c>
    </row>
    <row r="34" spans="1:10" ht="9.75" customHeight="1">
      <c r="A34" s="380" t="str">
        <f>'12.lan'!D351</f>
        <v>AZE Aserbaidschan</v>
      </c>
      <c r="B34" s="380" t="s">
        <v>272</v>
      </c>
      <c r="C34" s="383">
        <v>3.1277796044517552</v>
      </c>
      <c r="D34" s="380" t="s">
        <v>153</v>
      </c>
      <c r="E34" s="380" t="s">
        <v>247</v>
      </c>
      <c r="F34" s="383">
        <v>4.47</v>
      </c>
      <c r="G34" s="383" t="s">
        <v>243</v>
      </c>
      <c r="H34" s="336"/>
      <c r="J34" s="380" t="s">
        <v>273</v>
      </c>
    </row>
    <row r="35" spans="1:10" ht="9.75" customHeight="1">
      <c r="A35" s="380" t="str">
        <f>'12.lan'!D352</f>
        <v>BDI Burundi</v>
      </c>
      <c r="B35" s="380" t="s">
        <v>274</v>
      </c>
      <c r="C35" s="383">
        <v>3.5302047151250671</v>
      </c>
      <c r="D35" s="380" t="s">
        <v>153</v>
      </c>
      <c r="E35" s="380" t="s">
        <v>250</v>
      </c>
      <c r="F35" s="383">
        <v>6</v>
      </c>
      <c r="G35" s="383" t="s">
        <v>243</v>
      </c>
      <c r="H35" s="336"/>
      <c r="J35" s="380" t="s">
        <v>275</v>
      </c>
    </row>
    <row r="36" spans="1:10" ht="9.75" customHeight="1">
      <c r="A36" s="380" t="str">
        <f>'12.lan'!D353</f>
        <v>BEL Belgien</v>
      </c>
      <c r="B36" s="380" t="s">
        <v>276</v>
      </c>
      <c r="C36" s="383">
        <v>1.0899264390119239</v>
      </c>
      <c r="D36" s="380" t="s">
        <v>153</v>
      </c>
      <c r="E36" s="380" t="s">
        <v>253</v>
      </c>
      <c r="F36" s="383">
        <v>2</v>
      </c>
      <c r="G36" s="383"/>
      <c r="H36" s="336"/>
      <c r="J36" s="380" t="s">
        <v>277</v>
      </c>
    </row>
    <row r="37" spans="1:10" ht="9.75" customHeight="1">
      <c r="A37" s="380" t="str">
        <f>'12.lan'!D354</f>
        <v>BEN Benin</v>
      </c>
      <c r="B37" s="380" t="s">
        <v>278</v>
      </c>
      <c r="C37" s="383">
        <v>2.7025848562229897</v>
      </c>
      <c r="D37" s="380" t="s">
        <v>153</v>
      </c>
      <c r="E37" s="380" t="s">
        <v>250</v>
      </c>
      <c r="F37" s="383">
        <v>4</v>
      </c>
      <c r="G37" s="383" t="s">
        <v>243</v>
      </c>
      <c r="H37" s="336"/>
      <c r="J37" s="380" t="s">
        <v>279</v>
      </c>
    </row>
    <row r="38" spans="1:10" ht="9.75" customHeight="1">
      <c r="A38" s="380" t="str">
        <f>'12.lan'!D355</f>
        <v>BFA Burkina Faso</v>
      </c>
      <c r="B38" s="380" t="s">
        <v>280</v>
      </c>
      <c r="C38" s="383">
        <v>2.7876175661031235</v>
      </c>
      <c r="D38" s="380" t="s">
        <v>153</v>
      </c>
      <c r="E38" s="380" t="s">
        <v>250</v>
      </c>
      <c r="F38" s="383">
        <v>3</v>
      </c>
      <c r="G38" s="383" t="s">
        <v>243</v>
      </c>
      <c r="H38" s="336"/>
      <c r="J38" s="380" t="s">
        <v>281</v>
      </c>
    </row>
    <row r="39" spans="1:10" ht="9.75" customHeight="1">
      <c r="A39" s="380" t="str">
        <f>'12.lan'!D356</f>
        <v>BGD Bangladesch</v>
      </c>
      <c r="B39" s="380" t="s">
        <v>282</v>
      </c>
      <c r="C39" s="383">
        <v>3.6333908652937112</v>
      </c>
      <c r="D39" s="380" t="s">
        <v>153</v>
      </c>
      <c r="E39" s="380" t="s">
        <v>247</v>
      </c>
      <c r="F39" s="383">
        <v>5</v>
      </c>
      <c r="G39" s="383"/>
      <c r="H39" s="336"/>
      <c r="J39" s="380" t="s">
        <v>283</v>
      </c>
    </row>
    <row r="40" spans="1:10" ht="9.75" customHeight="1">
      <c r="A40" s="380" t="str">
        <f>'12.lan'!D357</f>
        <v>BGR Bulgarien</v>
      </c>
      <c r="B40" s="380" t="s">
        <v>284</v>
      </c>
      <c r="C40" s="383">
        <v>2.5384498085523663</v>
      </c>
      <c r="D40" s="380" t="s">
        <v>153</v>
      </c>
      <c r="E40" s="380" t="s">
        <v>253</v>
      </c>
      <c r="F40" s="383">
        <v>3</v>
      </c>
      <c r="G40" s="383"/>
      <c r="H40" s="336"/>
      <c r="J40" s="380" t="s">
        <v>285</v>
      </c>
    </row>
    <row r="41" spans="1:10" ht="9.75" customHeight="1">
      <c r="A41" s="380" t="str">
        <f>'12.lan'!D358</f>
        <v>BHR Bahrain</v>
      </c>
      <c r="B41" s="380" t="s">
        <v>286</v>
      </c>
      <c r="C41" s="383">
        <v>2.2064625467072263</v>
      </c>
      <c r="D41" s="380" t="s">
        <v>153</v>
      </c>
      <c r="E41" s="380" t="s">
        <v>247</v>
      </c>
      <c r="F41" s="383">
        <v>5</v>
      </c>
      <c r="G41" s="383"/>
      <c r="H41" s="336"/>
      <c r="J41" s="380" t="s">
        <v>287</v>
      </c>
    </row>
    <row r="42" spans="1:10" ht="9.75" customHeight="1">
      <c r="A42" s="380" t="str">
        <f>'12.lan'!D359</f>
        <v>BHS Bahamas</v>
      </c>
      <c r="B42" s="380" t="s">
        <v>288</v>
      </c>
      <c r="C42" s="383">
        <v>1.1770469424860193</v>
      </c>
      <c r="D42" s="380" t="s">
        <v>153</v>
      </c>
      <c r="E42" s="380" t="s">
        <v>244</v>
      </c>
      <c r="F42" s="383">
        <v>3</v>
      </c>
      <c r="G42" s="383" t="s">
        <v>243</v>
      </c>
      <c r="H42" s="336"/>
      <c r="J42" s="380" t="s">
        <v>289</v>
      </c>
    </row>
    <row r="43" spans="1:10" ht="9.75" customHeight="1">
      <c r="A43" s="380" t="str">
        <f>'12.lan'!D360</f>
        <v>BIH Bosnien und Herzegowina</v>
      </c>
      <c r="B43" s="380" t="s">
        <v>290</v>
      </c>
      <c r="C43" s="383">
        <v>2.4242501999056532</v>
      </c>
      <c r="D43" s="380" t="s">
        <v>153</v>
      </c>
      <c r="E43" s="380" t="s">
        <v>253</v>
      </c>
      <c r="F43" s="383">
        <v>4</v>
      </c>
      <c r="G43" s="383"/>
      <c r="H43" s="336"/>
      <c r="J43" s="380" t="s">
        <v>291</v>
      </c>
    </row>
    <row r="44" spans="1:10" ht="9.75" customHeight="1">
      <c r="A44" s="380" t="str">
        <f>'12.lan'!D361</f>
        <v>BLR Belarus</v>
      </c>
      <c r="B44" s="380" t="s">
        <v>292</v>
      </c>
      <c r="C44" s="383">
        <v>2.9646093888283525</v>
      </c>
      <c r="D44" s="380" t="s">
        <v>153</v>
      </c>
      <c r="E44" s="380" t="s">
        <v>253</v>
      </c>
      <c r="F44" s="383">
        <v>5</v>
      </c>
      <c r="G44" s="383"/>
      <c r="H44" s="336"/>
      <c r="J44" s="380" t="s">
        <v>293</v>
      </c>
    </row>
    <row r="45" spans="1:10" ht="9.75" customHeight="1">
      <c r="A45" s="380" t="str">
        <f>'12.lan'!D362</f>
        <v>BLZ Belize</v>
      </c>
      <c r="B45" s="380" t="s">
        <v>294</v>
      </c>
      <c r="C45" s="383">
        <v>2.0353237754932962</v>
      </c>
      <c r="D45" s="380" t="s">
        <v>153</v>
      </c>
      <c r="E45" s="380" t="s">
        <v>244</v>
      </c>
      <c r="F45" s="383">
        <v>3</v>
      </c>
      <c r="G45" s="383" t="s">
        <v>243</v>
      </c>
      <c r="H45" s="336"/>
      <c r="J45" s="380" t="s">
        <v>295</v>
      </c>
    </row>
    <row r="46" spans="1:10" ht="9.75" customHeight="1">
      <c r="A46" s="380" t="str">
        <f>'12.lan'!D363</f>
        <v>BMU Bermuda</v>
      </c>
      <c r="B46" s="380" t="s">
        <v>296</v>
      </c>
      <c r="C46" s="383">
        <v>1.0030456687149514</v>
      </c>
      <c r="D46" s="380" t="s">
        <v>243</v>
      </c>
      <c r="E46" s="380" t="s">
        <v>244</v>
      </c>
      <c r="F46" s="383">
        <v>3.52</v>
      </c>
      <c r="G46" s="383" t="s">
        <v>243</v>
      </c>
      <c r="H46" s="336"/>
      <c r="J46" s="380" t="s">
        <v>297</v>
      </c>
    </row>
    <row r="47" spans="1:10" ht="9.75" customHeight="1">
      <c r="A47" s="380" t="str">
        <f>'12.lan'!D364</f>
        <v>BOL Bolivien</v>
      </c>
      <c r="B47" s="380" t="s">
        <v>298</v>
      </c>
      <c r="C47" s="383">
        <v>3.0760427555263341</v>
      </c>
      <c r="D47" s="380" t="s">
        <v>153</v>
      </c>
      <c r="E47" s="380" t="s">
        <v>244</v>
      </c>
      <c r="F47" s="383">
        <v>3</v>
      </c>
      <c r="G47" s="383"/>
      <c r="H47" s="336"/>
      <c r="J47" s="380" t="s">
        <v>299</v>
      </c>
    </row>
    <row r="48" spans="1:10" ht="9.75" customHeight="1">
      <c r="A48" s="380" t="str">
        <f>'12.lan'!D365</f>
        <v>BRA Brasilien</v>
      </c>
      <c r="B48" s="380" t="s">
        <v>300</v>
      </c>
      <c r="C48" s="383">
        <v>1.4598266676778162</v>
      </c>
      <c r="D48" s="380" t="s">
        <v>153</v>
      </c>
      <c r="E48" s="380" t="s">
        <v>244</v>
      </c>
      <c r="F48" s="383">
        <v>5</v>
      </c>
      <c r="G48" s="383"/>
      <c r="H48" s="336"/>
      <c r="J48" s="380" t="s">
        <v>301</v>
      </c>
    </row>
    <row r="49" spans="1:10" ht="9.75" customHeight="1">
      <c r="A49" s="380" t="str">
        <f>'12.lan'!D366</f>
        <v>BRB Barbados</v>
      </c>
      <c r="B49" s="380" t="s">
        <v>302</v>
      </c>
      <c r="C49" s="383">
        <v>1.1583269849078761</v>
      </c>
      <c r="D49" s="380" t="s">
        <v>153</v>
      </c>
      <c r="E49" s="380" t="s">
        <v>244</v>
      </c>
      <c r="F49" s="383">
        <v>2</v>
      </c>
      <c r="G49" s="383" t="s">
        <v>243</v>
      </c>
      <c r="H49" s="336"/>
      <c r="J49" s="380" t="s">
        <v>303</v>
      </c>
    </row>
    <row r="50" spans="1:10" ht="9.75" customHeight="1">
      <c r="A50" s="380" t="str">
        <f>'12.lan'!D367</f>
        <v>BRN Brunei Darussalam</v>
      </c>
      <c r="B50" s="380" t="s">
        <v>304</v>
      </c>
      <c r="C50" s="383">
        <v>2.57404930341752</v>
      </c>
      <c r="D50" s="380" t="s">
        <v>153</v>
      </c>
      <c r="E50" s="380" t="s">
        <v>247</v>
      </c>
      <c r="F50" s="383">
        <v>4.47</v>
      </c>
      <c r="G50" s="383" t="s">
        <v>243</v>
      </c>
      <c r="H50" s="336"/>
      <c r="J50" s="380" t="s">
        <v>305</v>
      </c>
    </row>
    <row r="51" spans="1:10" ht="9.75" customHeight="1">
      <c r="A51" s="380" t="str">
        <f>'12.lan'!D368</f>
        <v>BTN Bhutan</v>
      </c>
      <c r="B51" s="380" t="s">
        <v>306</v>
      </c>
      <c r="C51" s="383">
        <v>3.2506173645282406</v>
      </c>
      <c r="D51" s="380" t="s">
        <v>153</v>
      </c>
      <c r="E51" s="380" t="s">
        <v>247</v>
      </c>
      <c r="F51" s="383">
        <v>4.47</v>
      </c>
      <c r="G51" s="383" t="s">
        <v>243</v>
      </c>
      <c r="H51" s="336"/>
      <c r="J51" s="380" t="s">
        <v>307</v>
      </c>
    </row>
    <row r="52" spans="1:10" ht="9.75" customHeight="1">
      <c r="A52" s="380" t="str">
        <f>'12.lan'!D369</f>
        <v>BWA Botswana</v>
      </c>
      <c r="B52" s="380" t="s">
        <v>308</v>
      </c>
      <c r="C52" s="383">
        <v>2.3179879641264609</v>
      </c>
      <c r="D52" s="380" t="s">
        <v>153</v>
      </c>
      <c r="E52" s="380" t="s">
        <v>250</v>
      </c>
      <c r="F52" s="383">
        <v>4</v>
      </c>
      <c r="G52" s="383"/>
      <c r="H52" s="336"/>
      <c r="J52" s="380" t="s">
        <v>309</v>
      </c>
    </row>
    <row r="53" spans="1:10" ht="9.75" customHeight="1">
      <c r="A53" s="380" t="str">
        <f>'12.lan'!D370</f>
        <v>CAF Zentralafrikanische Republik</v>
      </c>
      <c r="B53" s="380" t="s">
        <v>310</v>
      </c>
      <c r="C53" s="383">
        <v>2.2689876935089193</v>
      </c>
      <c r="D53" s="380" t="s">
        <v>153</v>
      </c>
      <c r="E53" s="380" t="s">
        <v>250</v>
      </c>
      <c r="F53" s="383">
        <v>6</v>
      </c>
      <c r="G53" s="383" t="s">
        <v>243</v>
      </c>
      <c r="H53" s="336"/>
      <c r="J53" s="380" t="s">
        <v>311</v>
      </c>
    </row>
    <row r="54" spans="1:10" ht="9.75" customHeight="1">
      <c r="A54" s="380" t="str">
        <f>'12.lan'!D371</f>
        <v>CAN Kanada</v>
      </c>
      <c r="B54" s="380" t="s">
        <v>312</v>
      </c>
      <c r="C54" s="383">
        <v>0.93653738034464029</v>
      </c>
      <c r="D54" s="380" t="s">
        <v>153</v>
      </c>
      <c r="E54" s="380" t="s">
        <v>244</v>
      </c>
      <c r="F54" s="383">
        <v>3</v>
      </c>
      <c r="G54" s="383"/>
      <c r="H54" s="336"/>
      <c r="I54" s="384"/>
      <c r="J54" s="380" t="s">
        <v>313</v>
      </c>
    </row>
    <row r="55" spans="1:10" ht="9.75" customHeight="1">
      <c r="A55" s="380" t="str">
        <f>'12.lan'!D372</f>
        <v>CHE Schweiz (Confoederatio Helvetica)</v>
      </c>
      <c r="B55" s="380" t="s">
        <v>314</v>
      </c>
      <c r="C55" s="383">
        <v>0.85919958856456613</v>
      </c>
      <c r="D55" s="380" t="s">
        <v>153</v>
      </c>
      <c r="E55" s="380" t="s">
        <v>253</v>
      </c>
      <c r="F55" s="383">
        <v>2</v>
      </c>
      <c r="G55" s="383" t="s">
        <v>243</v>
      </c>
      <c r="H55" s="336"/>
      <c r="J55" s="380" t="s">
        <v>315</v>
      </c>
    </row>
    <row r="56" spans="1:10" ht="9.75" customHeight="1">
      <c r="A56" s="380" t="str">
        <f>'12.lan'!D373</f>
        <v>CHL Chile</v>
      </c>
      <c r="B56" s="380" t="s">
        <v>316</v>
      </c>
      <c r="C56" s="383">
        <v>1.6670370466563476</v>
      </c>
      <c r="D56" s="380" t="s">
        <v>153</v>
      </c>
      <c r="E56" s="380" t="s">
        <v>244</v>
      </c>
      <c r="F56" s="383">
        <v>4</v>
      </c>
      <c r="G56" s="383"/>
      <c r="H56" s="336"/>
      <c r="J56" s="380" t="s">
        <v>317</v>
      </c>
    </row>
    <row r="57" spans="1:10" ht="9.75" customHeight="1">
      <c r="A57" s="380" t="str">
        <f>'12.lan'!D374</f>
        <v>CHN China, Volksrepublik</v>
      </c>
      <c r="B57" s="380" t="s">
        <v>318</v>
      </c>
      <c r="C57" s="383">
        <v>2.3523344673583195</v>
      </c>
      <c r="D57" s="380" t="s">
        <v>153</v>
      </c>
      <c r="E57" s="380" t="s">
        <v>247</v>
      </c>
      <c r="F57" s="383">
        <v>5</v>
      </c>
      <c r="G57" s="383"/>
      <c r="H57" s="336"/>
      <c r="J57" s="380" t="s">
        <v>319</v>
      </c>
    </row>
    <row r="58" spans="1:10" ht="9.75" customHeight="1">
      <c r="A58" s="380" t="str">
        <f>'12.lan'!D375</f>
        <v>CIV Côte d’Ivoire (Elfenbeinküste)</v>
      </c>
      <c r="B58" s="380" t="s">
        <v>320</v>
      </c>
      <c r="C58" s="383">
        <v>2.4856580197619582</v>
      </c>
      <c r="D58" s="380" t="s">
        <v>153</v>
      </c>
      <c r="E58" s="380" t="s">
        <v>250</v>
      </c>
      <c r="F58" s="383">
        <v>4</v>
      </c>
      <c r="G58" s="383"/>
      <c r="H58" s="336"/>
      <c r="J58" s="380" t="s">
        <v>321</v>
      </c>
    </row>
    <row r="59" spans="1:10" ht="9.75" customHeight="1">
      <c r="A59" s="380" t="str">
        <f>'12.lan'!D376</f>
        <v>CMR Kamerun</v>
      </c>
      <c r="B59" s="380" t="s">
        <v>322</v>
      </c>
      <c r="C59" s="383">
        <v>2.5222030719002291</v>
      </c>
      <c r="D59" s="380" t="s">
        <v>153</v>
      </c>
      <c r="E59" s="380" t="s">
        <v>250</v>
      </c>
      <c r="F59" s="383">
        <v>4</v>
      </c>
      <c r="G59" s="383"/>
      <c r="H59" s="336"/>
      <c r="J59" s="380" t="s">
        <v>323</v>
      </c>
    </row>
    <row r="60" spans="1:10" ht="9.75" customHeight="1">
      <c r="A60" s="380" t="str">
        <f>'12.lan'!D377</f>
        <v>COD Kongo, Demokratische Republik (ehem. Zaire)</v>
      </c>
      <c r="B60" s="380" t="s">
        <v>324</v>
      </c>
      <c r="C60" s="383">
        <v>2.2261428856799217</v>
      </c>
      <c r="D60" s="380" t="s">
        <v>153</v>
      </c>
      <c r="E60" s="380" t="s">
        <v>250</v>
      </c>
      <c r="F60" s="383">
        <v>2</v>
      </c>
      <c r="G60" s="383"/>
      <c r="H60" s="336"/>
      <c r="J60" s="380" t="s">
        <v>325</v>
      </c>
    </row>
    <row r="61" spans="1:10" ht="9.75" customHeight="1">
      <c r="A61" s="380" t="str">
        <f>'12.lan'!D378</f>
        <v>COG Republik Kongo</v>
      </c>
      <c r="B61" s="380" t="s">
        <v>326</v>
      </c>
      <c r="C61" s="383">
        <v>2.1352573348878523</v>
      </c>
      <c r="D61" s="380" t="s">
        <v>153</v>
      </c>
      <c r="E61" s="380" t="s">
        <v>250</v>
      </c>
      <c r="F61" s="383">
        <v>3.79</v>
      </c>
      <c r="G61" s="383"/>
      <c r="H61" s="336"/>
      <c r="J61" s="380" t="s">
        <v>327</v>
      </c>
    </row>
    <row r="62" spans="1:10" ht="9.75" customHeight="1">
      <c r="A62" s="380" t="str">
        <f>'12.lan'!D379</f>
        <v>COL Kolumbien</v>
      </c>
      <c r="B62" s="380" t="s">
        <v>328</v>
      </c>
      <c r="C62" s="383">
        <v>1.9518235675919102</v>
      </c>
      <c r="D62" s="380" t="s">
        <v>153</v>
      </c>
      <c r="E62" s="380" t="s">
        <v>244</v>
      </c>
      <c r="F62" s="383">
        <v>5</v>
      </c>
      <c r="G62" s="383"/>
      <c r="H62" s="336"/>
      <c r="J62" s="380" t="s">
        <v>329</v>
      </c>
    </row>
    <row r="63" spans="1:10" ht="9.75" customHeight="1">
      <c r="A63" s="380" t="str">
        <f>'12.lan'!D380</f>
        <v>COM Komoren</v>
      </c>
      <c r="B63" s="380" t="s">
        <v>330</v>
      </c>
      <c r="C63" s="383">
        <v>2.0789532636991011</v>
      </c>
      <c r="D63" s="380" t="s">
        <v>153</v>
      </c>
      <c r="E63" s="380" t="s">
        <v>250</v>
      </c>
      <c r="F63" s="383">
        <v>3.79</v>
      </c>
      <c r="G63" s="383" t="s">
        <v>243</v>
      </c>
      <c r="H63" s="336"/>
      <c r="J63" s="380" t="s">
        <v>331</v>
      </c>
    </row>
    <row r="64" spans="1:10" ht="9.75" customHeight="1">
      <c r="A64" s="380" t="str">
        <f>'12.lan'!D381</f>
        <v>CPV Kap Verde</v>
      </c>
      <c r="B64" s="380" t="s">
        <v>332</v>
      </c>
      <c r="C64" s="383">
        <v>1.9826993856655781</v>
      </c>
      <c r="D64" s="380" t="s">
        <v>153</v>
      </c>
      <c r="E64" s="380" t="s">
        <v>250</v>
      </c>
      <c r="F64" s="383">
        <v>3.79</v>
      </c>
      <c r="G64" s="383" t="s">
        <v>243</v>
      </c>
      <c r="H64" s="336"/>
      <c r="J64" s="380" t="s">
        <v>333</v>
      </c>
    </row>
    <row r="65" spans="1:10" ht="9.75" customHeight="1">
      <c r="A65" s="380" t="str">
        <f>'12.lan'!D382</f>
        <v>CRI Costa Rica</v>
      </c>
      <c r="B65" s="380" t="s">
        <v>334</v>
      </c>
      <c r="C65" s="383">
        <v>1.7868102773319259</v>
      </c>
      <c r="D65" s="380" t="s">
        <v>153</v>
      </c>
      <c r="E65" s="380" t="s">
        <v>244</v>
      </c>
      <c r="F65" s="383">
        <v>2</v>
      </c>
      <c r="G65" s="383"/>
      <c r="H65" s="336"/>
      <c r="J65" s="380" t="s">
        <v>335</v>
      </c>
    </row>
    <row r="66" spans="1:10" ht="9.75" customHeight="1">
      <c r="A66" s="380" t="str">
        <f>'12.lan'!D383</f>
        <v>CUB Kuba</v>
      </c>
      <c r="B66" s="380" t="s">
        <v>336</v>
      </c>
      <c r="C66" s="383">
        <v>1.834346114968979</v>
      </c>
      <c r="D66" s="380" t="s">
        <v>243</v>
      </c>
      <c r="E66" s="380" t="s">
        <v>244</v>
      </c>
      <c r="F66" s="383">
        <v>3.52</v>
      </c>
      <c r="G66" s="383" t="s">
        <v>243</v>
      </c>
      <c r="H66" s="336"/>
      <c r="J66" s="380" t="s">
        <v>337</v>
      </c>
    </row>
    <row r="67" spans="1:10" ht="9.75" customHeight="1">
      <c r="A67" s="380" t="str">
        <f>'12.lan'!D384</f>
        <v>CUW Curaçao</v>
      </c>
      <c r="B67" s="380" t="s">
        <v>338</v>
      </c>
      <c r="C67" s="383">
        <v>1.834346114968979</v>
      </c>
      <c r="D67" s="380" t="s">
        <v>243</v>
      </c>
      <c r="E67" s="380" t="s">
        <v>244</v>
      </c>
      <c r="F67" s="383">
        <v>3.52</v>
      </c>
      <c r="G67" s="383" t="s">
        <v>243</v>
      </c>
      <c r="H67" s="336"/>
      <c r="J67" s="380" t="s">
        <v>339</v>
      </c>
    </row>
    <row r="68" spans="1:10" ht="9.75" customHeight="1">
      <c r="A68" s="380" t="str">
        <f>'12.lan'!D385</f>
        <v>CYM Kaimaninseln</v>
      </c>
      <c r="B68" s="380" t="s">
        <v>340</v>
      </c>
      <c r="C68" s="383">
        <v>0.89501403196916274</v>
      </c>
      <c r="D68" s="380">
        <v>2017</v>
      </c>
      <c r="E68" s="380" t="s">
        <v>244</v>
      </c>
      <c r="F68" s="383">
        <v>3.52</v>
      </c>
      <c r="G68" s="383" t="s">
        <v>243</v>
      </c>
      <c r="H68" s="336"/>
      <c r="J68" s="380" t="s">
        <v>341</v>
      </c>
    </row>
    <row r="69" spans="1:10" ht="9.75" customHeight="1">
      <c r="A69" s="380" t="str">
        <f>'12.lan'!D386</f>
        <v>CYP Zypern</v>
      </c>
      <c r="B69" s="380" t="s">
        <v>342</v>
      </c>
      <c r="C69" s="383">
        <v>1.2223340259470399</v>
      </c>
      <c r="D69" s="380" t="s">
        <v>153</v>
      </c>
      <c r="E69" s="380" t="s">
        <v>247</v>
      </c>
      <c r="F69" s="383">
        <v>4.47</v>
      </c>
      <c r="G69" s="383" t="s">
        <v>243</v>
      </c>
      <c r="H69" s="336"/>
      <c r="J69" s="380" t="s">
        <v>343</v>
      </c>
    </row>
    <row r="70" spans="1:10" ht="9.75" customHeight="1">
      <c r="A70" s="380" t="str">
        <f>'12.lan'!D387</f>
        <v>CZE Tschechische Republik</v>
      </c>
      <c r="B70" s="380" t="s">
        <v>344</v>
      </c>
      <c r="C70" s="383">
        <v>1.7014347041832565</v>
      </c>
      <c r="D70" s="380" t="s">
        <v>153</v>
      </c>
      <c r="E70" s="380" t="s">
        <v>253</v>
      </c>
      <c r="F70" s="383">
        <v>2</v>
      </c>
      <c r="G70" s="383"/>
      <c r="H70" s="336"/>
      <c r="J70" s="380" t="s">
        <v>345</v>
      </c>
    </row>
    <row r="71" spans="1:10" ht="9.75" customHeight="1">
      <c r="A71" s="380" t="str">
        <f>'12.lan'!D388</f>
        <v>DEU Deutschland</v>
      </c>
      <c r="B71" s="380" t="s">
        <v>346</v>
      </c>
      <c r="C71" s="383">
        <v>1.1178803033419766</v>
      </c>
      <c r="D71" s="380" t="s">
        <v>153</v>
      </c>
      <c r="E71" s="380" t="s">
        <v>253</v>
      </c>
      <c r="F71" s="383">
        <v>1</v>
      </c>
      <c r="G71" s="383"/>
      <c r="H71" s="336"/>
      <c r="J71" s="380" t="s">
        <v>347</v>
      </c>
    </row>
    <row r="72" spans="1:10" ht="9.75" customHeight="1">
      <c r="A72" s="380" t="str">
        <f>'12.lan'!D389</f>
        <v>DJI Dschibuti</v>
      </c>
      <c r="B72" s="380" t="s">
        <v>348</v>
      </c>
      <c r="C72" s="383">
        <v>2.514550394779445</v>
      </c>
      <c r="D72" s="380" t="s">
        <v>243</v>
      </c>
      <c r="E72" s="380" t="s">
        <v>250</v>
      </c>
      <c r="F72" s="383">
        <v>4</v>
      </c>
      <c r="G72" s="383" t="s">
        <v>243</v>
      </c>
      <c r="H72" s="336"/>
      <c r="J72" s="380" t="s">
        <v>349</v>
      </c>
    </row>
    <row r="73" spans="1:10" ht="9.75" customHeight="1">
      <c r="A73" s="380" t="str">
        <f>'12.lan'!D390</f>
        <v>DMA Dominica</v>
      </c>
      <c r="B73" s="380" t="s">
        <v>350</v>
      </c>
      <c r="C73" s="383">
        <v>1.66257623602982</v>
      </c>
      <c r="D73" s="380" t="s">
        <v>153</v>
      </c>
      <c r="E73" s="380" t="s">
        <v>244</v>
      </c>
      <c r="F73" s="383">
        <v>2</v>
      </c>
      <c r="G73" s="383" t="s">
        <v>243</v>
      </c>
      <c r="H73" s="336"/>
      <c r="J73" s="380" t="s">
        <v>351</v>
      </c>
    </row>
    <row r="74" spans="1:10" ht="9.75" customHeight="1">
      <c r="A74" s="380" t="str">
        <f>'12.lan'!D391</f>
        <v>DNK Dänemark</v>
      </c>
      <c r="B74" s="380" t="s">
        <v>352</v>
      </c>
      <c r="C74" s="383">
        <v>0.87158518994906831</v>
      </c>
      <c r="D74" s="380" t="s">
        <v>153</v>
      </c>
      <c r="E74" s="380" t="s">
        <v>253</v>
      </c>
      <c r="F74" s="383">
        <v>1</v>
      </c>
      <c r="G74" s="383"/>
      <c r="H74" s="336"/>
      <c r="J74" s="380" t="s">
        <v>353</v>
      </c>
    </row>
    <row r="75" spans="1:10" ht="9.75" customHeight="1">
      <c r="A75" s="380" t="str">
        <f>'12.lan'!D392</f>
        <v>DOM Dominikanische Republik</v>
      </c>
      <c r="B75" s="380" t="s">
        <v>354</v>
      </c>
      <c r="C75" s="383">
        <v>2.3056407566549151</v>
      </c>
      <c r="D75" s="380" t="s">
        <v>153</v>
      </c>
      <c r="E75" s="380" t="s">
        <v>244</v>
      </c>
      <c r="F75" s="383">
        <v>2</v>
      </c>
      <c r="G75" s="383"/>
      <c r="H75" s="336"/>
      <c r="J75" s="380" t="s">
        <v>355</v>
      </c>
    </row>
    <row r="76" spans="1:10" ht="9.75" customHeight="1">
      <c r="A76" s="380" t="str">
        <f>'12.lan'!D393</f>
        <v>DZA Algerien</v>
      </c>
      <c r="B76" s="380" t="s">
        <v>356</v>
      </c>
      <c r="C76" s="383">
        <v>3.2494892932790038</v>
      </c>
      <c r="D76" s="380" t="s">
        <v>153</v>
      </c>
      <c r="E76" s="380" t="s">
        <v>250</v>
      </c>
      <c r="F76" s="383">
        <v>5</v>
      </c>
      <c r="G76" s="383"/>
      <c r="H76" s="336"/>
      <c r="J76" s="380" t="s">
        <v>357</v>
      </c>
    </row>
    <row r="77" spans="1:10" ht="9.75" customHeight="1">
      <c r="A77" s="380" t="str">
        <f>'12.lan'!D394</f>
        <v>ECU Ecuador</v>
      </c>
      <c r="B77" s="380" t="s">
        <v>358</v>
      </c>
      <c r="C77" s="383">
        <v>2.2631013315085902</v>
      </c>
      <c r="D77" s="380" t="s">
        <v>153</v>
      </c>
      <c r="E77" s="380" t="s">
        <v>244</v>
      </c>
      <c r="F77" s="383">
        <v>5</v>
      </c>
      <c r="G77" s="383"/>
      <c r="H77" s="336"/>
      <c r="J77" s="380" t="s">
        <v>359</v>
      </c>
    </row>
    <row r="78" spans="1:10" ht="9.75" customHeight="1">
      <c r="A78" s="380" t="str">
        <f>'12.lan'!D395</f>
        <v>EGY Ägypten</v>
      </c>
      <c r="B78" s="380" t="s">
        <v>360</v>
      </c>
      <c r="C78" s="383">
        <v>4.2693338580746198</v>
      </c>
      <c r="D78" s="380" t="s">
        <v>153</v>
      </c>
      <c r="E78" s="380" t="s">
        <v>250</v>
      </c>
      <c r="F78" s="383">
        <v>5</v>
      </c>
      <c r="G78" s="383"/>
      <c r="H78" s="336"/>
      <c r="J78" s="380" t="s">
        <v>361</v>
      </c>
    </row>
    <row r="79" spans="1:10" ht="9.75" customHeight="1">
      <c r="A79" s="380" t="str">
        <f>'12.lan'!D396</f>
        <v>ERI Eritrea</v>
      </c>
      <c r="B79" s="380" t="s">
        <v>362</v>
      </c>
      <c r="C79" s="383">
        <v>2.514550394779445</v>
      </c>
      <c r="D79" s="380" t="s">
        <v>243</v>
      </c>
      <c r="E79" s="380" t="s">
        <v>250</v>
      </c>
      <c r="F79" s="383">
        <v>5</v>
      </c>
      <c r="G79" s="383" t="s">
        <v>243</v>
      </c>
      <c r="H79" s="336"/>
      <c r="J79" s="380" t="s">
        <v>363</v>
      </c>
    </row>
    <row r="80" spans="1:10" ht="9.75" customHeight="1">
      <c r="A80" s="380" t="str">
        <f>'12.lan'!D397</f>
        <v>ESP Spanien</v>
      </c>
      <c r="B80" s="380" t="s">
        <v>364</v>
      </c>
      <c r="C80" s="383">
        <v>1.205339693880032</v>
      </c>
      <c r="D80" s="380" t="s">
        <v>153</v>
      </c>
      <c r="E80" s="380" t="s">
        <v>253</v>
      </c>
      <c r="F80" s="383">
        <v>3</v>
      </c>
      <c r="G80" s="383"/>
      <c r="H80" s="336"/>
      <c r="J80" s="380" t="s">
        <v>365</v>
      </c>
    </row>
    <row r="81" spans="1:10" ht="9.75" customHeight="1">
      <c r="A81" s="380" t="str">
        <f>'12.lan'!D398</f>
        <v>EST Estland</v>
      </c>
      <c r="B81" s="380" t="s">
        <v>366</v>
      </c>
      <c r="C81" s="383">
        <v>1.802823588900454</v>
      </c>
      <c r="D81" s="380" t="s">
        <v>153</v>
      </c>
      <c r="E81" s="380" t="s">
        <v>253</v>
      </c>
      <c r="F81" s="383">
        <v>2</v>
      </c>
      <c r="G81" s="383"/>
      <c r="H81" s="336"/>
      <c r="J81" s="380" t="s">
        <v>367</v>
      </c>
    </row>
    <row r="82" spans="1:10" ht="9.75" customHeight="1">
      <c r="A82" s="380" t="str">
        <f>'12.lan'!D399</f>
        <v>ETH Äthiopien</v>
      </c>
      <c r="B82" s="380" t="s">
        <v>368</v>
      </c>
      <c r="C82" s="383">
        <v>3.5457089832703841</v>
      </c>
      <c r="D82" s="380" t="s">
        <v>153</v>
      </c>
      <c r="E82" s="380" t="s">
        <v>250</v>
      </c>
      <c r="F82" s="383">
        <v>4</v>
      </c>
      <c r="G82" s="383"/>
      <c r="H82" s="336"/>
      <c r="J82" s="380" t="s">
        <v>369</v>
      </c>
    </row>
    <row r="83" spans="1:10" ht="9.75" customHeight="1">
      <c r="A83" s="380" t="str">
        <f>'12.lan'!D400</f>
        <v>FIN Finnland</v>
      </c>
      <c r="B83" s="380" t="s">
        <v>370</v>
      </c>
      <c r="C83" s="383">
        <v>0.99318659849216051</v>
      </c>
      <c r="D83" s="380" t="s">
        <v>153</v>
      </c>
      <c r="E83" s="380" t="s">
        <v>253</v>
      </c>
      <c r="F83" s="383">
        <v>1</v>
      </c>
      <c r="G83" s="383"/>
      <c r="H83" s="336"/>
      <c r="J83" s="380" t="s">
        <v>371</v>
      </c>
    </row>
    <row r="84" spans="1:10" ht="9.75" customHeight="1">
      <c r="A84" s="380" t="str">
        <f>'12.lan'!D401</f>
        <v>FJI Fidschi</v>
      </c>
      <c r="B84" s="380" t="s">
        <v>372</v>
      </c>
      <c r="C84" s="383">
        <v>2.2688294423555617</v>
      </c>
      <c r="D84" s="380" t="s">
        <v>153</v>
      </c>
      <c r="E84" s="380" t="s">
        <v>264</v>
      </c>
      <c r="F84" s="383">
        <v>4</v>
      </c>
      <c r="G84" s="383" t="s">
        <v>243</v>
      </c>
      <c r="H84" s="336"/>
      <c r="J84" s="380" t="s">
        <v>373</v>
      </c>
    </row>
    <row r="85" spans="1:10" ht="9.75" customHeight="1">
      <c r="A85" s="380" t="str">
        <f>'12.lan'!D402</f>
        <v>FRA Frankreich</v>
      </c>
      <c r="B85" s="380" t="s">
        <v>374</v>
      </c>
      <c r="C85" s="383">
        <v>1.038448762631057</v>
      </c>
      <c r="D85" s="380" t="s">
        <v>153</v>
      </c>
      <c r="E85" s="380" t="s">
        <v>253</v>
      </c>
      <c r="F85" s="383">
        <v>2</v>
      </c>
      <c r="G85" s="383"/>
      <c r="H85" s="336"/>
      <c r="J85" s="380" t="s">
        <v>375</v>
      </c>
    </row>
    <row r="86" spans="1:10" ht="9.75" customHeight="1">
      <c r="A86" s="380" t="str">
        <f>'12.lan'!D403</f>
        <v>FRO Färöer</v>
      </c>
      <c r="B86" s="380" t="s">
        <v>376</v>
      </c>
      <c r="C86" s="383">
        <v>1.0331402674066741</v>
      </c>
      <c r="D86" s="380" t="s">
        <v>243</v>
      </c>
      <c r="E86" s="380" t="s">
        <v>253</v>
      </c>
      <c r="F86" s="383">
        <v>2.5499999999999998</v>
      </c>
      <c r="G86" s="383" t="s">
        <v>243</v>
      </c>
      <c r="H86" s="336"/>
      <c r="J86" s="380" t="s">
        <v>377</v>
      </c>
    </row>
    <row r="87" spans="1:10" ht="9.75" customHeight="1">
      <c r="A87" s="380" t="str">
        <f>'12.lan'!D404</f>
        <v>FSM Mikronesien</v>
      </c>
      <c r="B87" s="380" t="s">
        <v>378</v>
      </c>
      <c r="C87" s="383">
        <v>1.3021436228721375</v>
      </c>
      <c r="D87" s="380" t="s">
        <v>153</v>
      </c>
      <c r="E87" s="380" t="s">
        <v>264</v>
      </c>
      <c r="F87" s="383">
        <v>4.05</v>
      </c>
      <c r="G87" s="383" t="s">
        <v>243</v>
      </c>
      <c r="H87" s="336"/>
      <c r="J87" s="380" t="s">
        <v>379</v>
      </c>
    </row>
    <row r="88" spans="1:10" ht="9.75" customHeight="1">
      <c r="A88" s="380" t="str">
        <f>'12.lan'!D405</f>
        <v>GAB Gabun</v>
      </c>
      <c r="B88" s="380" t="s">
        <v>380</v>
      </c>
      <c r="C88" s="383">
        <v>1.9768692823417264</v>
      </c>
      <c r="D88" s="380" t="s">
        <v>153</v>
      </c>
      <c r="E88" s="380" t="s">
        <v>250</v>
      </c>
      <c r="F88" s="383">
        <v>3.79</v>
      </c>
      <c r="G88" s="383" t="s">
        <v>243</v>
      </c>
      <c r="H88" s="336"/>
      <c r="J88" s="380" t="s">
        <v>381</v>
      </c>
    </row>
    <row r="89" spans="1:10" ht="9.75" customHeight="1">
      <c r="A89" s="380" t="str">
        <f>'12.lan'!D406</f>
        <v>GBR Vereinigtes Königreich Großbritannien und Nordirland</v>
      </c>
      <c r="B89" s="380" t="s">
        <v>382</v>
      </c>
      <c r="C89" s="383">
        <v>1.0611426525467755</v>
      </c>
      <c r="D89" s="380" t="s">
        <v>153</v>
      </c>
      <c r="E89" s="380" t="s">
        <v>253</v>
      </c>
      <c r="F89" s="383">
        <v>3</v>
      </c>
      <c r="G89" s="383"/>
      <c r="H89" s="336"/>
      <c r="J89" s="380" t="s">
        <v>383</v>
      </c>
    </row>
    <row r="90" spans="1:10" ht="9.75" customHeight="1">
      <c r="A90" s="380" t="str">
        <f>'12.lan'!D407</f>
        <v>GEO Georgien</v>
      </c>
      <c r="B90" s="380" t="s">
        <v>384</v>
      </c>
      <c r="C90" s="383">
        <v>2.5426400553163391</v>
      </c>
      <c r="D90" s="380" t="s">
        <v>153</v>
      </c>
      <c r="E90" s="380" t="s">
        <v>247</v>
      </c>
      <c r="F90" s="383">
        <v>3</v>
      </c>
      <c r="G90" s="383"/>
      <c r="H90" s="336"/>
      <c r="J90" s="380" t="s">
        <v>385</v>
      </c>
    </row>
    <row r="91" spans="1:10" ht="9.75" customHeight="1">
      <c r="A91" s="380" t="str">
        <f>'12.lan'!D408</f>
        <v>GHA Ghana</v>
      </c>
      <c r="B91" s="380" t="s">
        <v>386</v>
      </c>
      <c r="C91" s="383">
        <v>2.6267393990556638</v>
      </c>
      <c r="D91" s="380" t="s">
        <v>153</v>
      </c>
      <c r="E91" s="380" t="s">
        <v>250</v>
      </c>
      <c r="F91" s="383">
        <v>3</v>
      </c>
      <c r="G91" s="383"/>
      <c r="H91" s="336"/>
      <c r="J91" s="380" t="s">
        <v>387</v>
      </c>
    </row>
    <row r="92" spans="1:10" ht="9.75" customHeight="1">
      <c r="A92" s="380" t="str">
        <f>'12.lan'!D409</f>
        <v>GIB Gibraltar</v>
      </c>
      <c r="B92" s="380" t="s">
        <v>388</v>
      </c>
      <c r="C92" s="383">
        <v>1.0331402674066741</v>
      </c>
      <c r="D92" s="380" t="s">
        <v>243</v>
      </c>
      <c r="E92" s="380" t="s">
        <v>253</v>
      </c>
      <c r="F92" s="383">
        <v>2.5499999999999998</v>
      </c>
      <c r="G92" s="383" t="s">
        <v>243</v>
      </c>
      <c r="H92" s="336"/>
      <c r="J92" s="380" t="s">
        <v>389</v>
      </c>
    </row>
    <row r="93" spans="1:10" ht="9.75" customHeight="1">
      <c r="A93" s="380" t="str">
        <f>'12.lan'!D410</f>
        <v>GIN Guinea</v>
      </c>
      <c r="B93" s="380" t="s">
        <v>390</v>
      </c>
      <c r="C93" s="383">
        <v>2.7930323596726261</v>
      </c>
      <c r="D93" s="380" t="s">
        <v>153</v>
      </c>
      <c r="E93" s="380" t="s">
        <v>250</v>
      </c>
      <c r="F93" s="383">
        <v>3.79</v>
      </c>
      <c r="G93" s="383" t="s">
        <v>243</v>
      </c>
      <c r="H93" s="336"/>
      <c r="J93" s="380" t="s">
        <v>391</v>
      </c>
    </row>
    <row r="94" spans="1:10" ht="9.75" customHeight="1">
      <c r="A94" s="380" t="str">
        <f>'12.lan'!D411</f>
        <v>GMB Gambia</v>
      </c>
      <c r="B94" s="380" t="s">
        <v>392</v>
      </c>
      <c r="C94" s="383">
        <v>3.321579166015443</v>
      </c>
      <c r="D94" s="380" t="s">
        <v>153</v>
      </c>
      <c r="E94" s="380" t="s">
        <v>250</v>
      </c>
      <c r="F94" s="383">
        <v>3.79</v>
      </c>
      <c r="G94" s="383" t="s">
        <v>243</v>
      </c>
      <c r="H94" s="336"/>
      <c r="J94" s="380" t="s">
        <v>393</v>
      </c>
    </row>
    <row r="95" spans="1:10" ht="9.75" customHeight="1">
      <c r="A95" s="380" t="str">
        <f>'12.lan'!D412</f>
        <v>GNB Guinea-Bissau</v>
      </c>
      <c r="B95" s="380" t="s">
        <v>394</v>
      </c>
      <c r="C95" s="383">
        <v>2.8920209554815477</v>
      </c>
      <c r="D95" s="380" t="s">
        <v>153</v>
      </c>
      <c r="E95" s="380" t="s">
        <v>250</v>
      </c>
      <c r="F95" s="383">
        <v>3.79</v>
      </c>
      <c r="G95" s="383" t="s">
        <v>243</v>
      </c>
      <c r="H95" s="336"/>
      <c r="I95" s="384"/>
      <c r="J95" s="380" t="s">
        <v>395</v>
      </c>
    </row>
    <row r="96" spans="1:10" ht="9.75" customHeight="1">
      <c r="A96" s="380" t="str">
        <f>'12.lan'!D413</f>
        <v>GNQ Äquatorialguinea</v>
      </c>
      <c r="B96" s="380" t="s">
        <v>396</v>
      </c>
      <c r="C96" s="383">
        <v>2.2178292932095838</v>
      </c>
      <c r="D96" s="380" t="s">
        <v>153</v>
      </c>
      <c r="E96" s="380" t="s">
        <v>250</v>
      </c>
      <c r="F96" s="383">
        <v>3.79</v>
      </c>
      <c r="G96" s="383" t="s">
        <v>243</v>
      </c>
      <c r="H96" s="336"/>
      <c r="J96" s="380" t="s">
        <v>397</v>
      </c>
    </row>
    <row r="97" spans="1:10" ht="9.75" customHeight="1">
      <c r="A97" s="380" t="str">
        <f>'12.lan'!D414</f>
        <v>GRC Griechenland</v>
      </c>
      <c r="B97" s="380" t="s">
        <v>398</v>
      </c>
      <c r="C97" s="383">
        <v>1.2561357902594681</v>
      </c>
      <c r="D97" s="380" t="s">
        <v>153</v>
      </c>
      <c r="E97" s="380" t="s">
        <v>253</v>
      </c>
      <c r="F97" s="383">
        <v>5</v>
      </c>
      <c r="G97" s="383"/>
      <c r="H97" s="336"/>
      <c r="J97" s="380" t="s">
        <v>399</v>
      </c>
    </row>
    <row r="98" spans="1:10" ht="9.75" customHeight="1">
      <c r="A98" s="380" t="str">
        <f>'12.lan'!D415</f>
        <v>GRD Grenada</v>
      </c>
      <c r="B98" s="380" t="s">
        <v>400</v>
      </c>
      <c r="C98" s="383">
        <v>1.7103101038137645</v>
      </c>
      <c r="D98" s="380" t="s">
        <v>153</v>
      </c>
      <c r="E98" s="380" t="s">
        <v>244</v>
      </c>
      <c r="F98" s="383">
        <v>3.52</v>
      </c>
      <c r="G98" s="383" t="s">
        <v>243</v>
      </c>
      <c r="H98" s="336"/>
      <c r="J98" s="380" t="s">
        <v>401</v>
      </c>
    </row>
    <row r="99" spans="1:10" ht="9.75" customHeight="1">
      <c r="A99" s="380" t="str">
        <f>'12.lan'!D416</f>
        <v>GRL Grönland</v>
      </c>
      <c r="B99" s="380" t="s">
        <v>402</v>
      </c>
      <c r="C99" s="383">
        <v>1.0030456687149514</v>
      </c>
      <c r="D99" s="380" t="s">
        <v>243</v>
      </c>
      <c r="E99" s="380" t="s">
        <v>244</v>
      </c>
      <c r="F99" s="383">
        <v>3.52</v>
      </c>
      <c r="G99" s="383" t="s">
        <v>243</v>
      </c>
      <c r="H99" s="336"/>
      <c r="J99" s="380" t="s">
        <v>403</v>
      </c>
    </row>
    <row r="100" spans="1:10" ht="9.75" customHeight="1">
      <c r="A100" s="380" t="str">
        <f>'12.lan'!D417</f>
        <v>GTM Guatemala</v>
      </c>
      <c r="B100" s="380" t="s">
        <v>404</v>
      </c>
      <c r="C100" s="383">
        <v>2.6779940202361368</v>
      </c>
      <c r="D100" s="380" t="s">
        <v>153</v>
      </c>
      <c r="E100" s="380" t="s">
        <v>244</v>
      </c>
      <c r="F100" s="383">
        <v>5</v>
      </c>
      <c r="G100" s="383"/>
      <c r="H100" s="336"/>
      <c r="J100" s="380" t="s">
        <v>405</v>
      </c>
    </row>
    <row r="101" spans="1:10" ht="9.75" customHeight="1">
      <c r="A101" s="380" t="str">
        <f>'12.lan'!D418</f>
        <v>GUM Guam</v>
      </c>
      <c r="B101" s="380" t="s">
        <v>406</v>
      </c>
      <c r="C101" s="383">
        <v>1.4985868712925843</v>
      </c>
      <c r="D101" s="380" t="s">
        <v>243</v>
      </c>
      <c r="E101" s="380" t="s">
        <v>264</v>
      </c>
      <c r="F101" s="383">
        <v>4.05</v>
      </c>
      <c r="G101" s="383" t="s">
        <v>243</v>
      </c>
      <c r="H101" s="336"/>
      <c r="J101" s="380" t="s">
        <v>407</v>
      </c>
    </row>
    <row r="102" spans="1:10" ht="9.75" customHeight="1">
      <c r="A102" s="380" t="str">
        <f>'12.lan'!D419</f>
        <v>GUY Guyana</v>
      </c>
      <c r="B102" s="380" t="s">
        <v>408</v>
      </c>
      <c r="C102" s="383">
        <v>2.1643906954463876</v>
      </c>
      <c r="D102" s="380" t="s">
        <v>153</v>
      </c>
      <c r="E102" s="380" t="s">
        <v>244</v>
      </c>
      <c r="F102" s="383">
        <v>3.52</v>
      </c>
      <c r="G102" s="383" t="s">
        <v>243</v>
      </c>
      <c r="H102" s="336"/>
      <c r="J102" s="380" t="s">
        <v>409</v>
      </c>
    </row>
    <row r="103" spans="1:10" ht="9.75" customHeight="1">
      <c r="A103" s="380" t="str">
        <f>'12.lan'!D420</f>
        <v>HKG Hongkong</v>
      </c>
      <c r="B103" s="380" t="s">
        <v>410</v>
      </c>
      <c r="C103" s="383">
        <v>1.6656418248795757</v>
      </c>
      <c r="D103" s="380" t="s">
        <v>153</v>
      </c>
      <c r="E103" s="380" t="s">
        <v>247</v>
      </c>
      <c r="F103" s="383">
        <v>5</v>
      </c>
      <c r="G103" s="383"/>
      <c r="H103" s="336"/>
      <c r="J103" s="380" t="s">
        <v>411</v>
      </c>
    </row>
    <row r="104" spans="1:10" ht="9.75" customHeight="1">
      <c r="A104" s="380" t="str">
        <f>'12.lan'!D421</f>
        <v>HND Honduras</v>
      </c>
      <c r="B104" s="380" t="s">
        <v>412</v>
      </c>
      <c r="C104" s="383">
        <v>2.3154629495960402</v>
      </c>
      <c r="D104" s="380" t="s">
        <v>153</v>
      </c>
      <c r="E104" s="380" t="s">
        <v>244</v>
      </c>
      <c r="F104" s="383">
        <v>5</v>
      </c>
      <c r="G104" s="383"/>
      <c r="H104" s="336"/>
      <c r="J104" s="380" t="s">
        <v>413</v>
      </c>
    </row>
    <row r="105" spans="1:10" ht="9.75" customHeight="1">
      <c r="A105" s="380" t="str">
        <f>'12.lan'!D422</f>
        <v>HRV Kroatien</v>
      </c>
      <c r="B105" s="380" t="s">
        <v>414</v>
      </c>
      <c r="C105" s="383">
        <v>1.7357122923778123</v>
      </c>
      <c r="D105" s="380" t="s">
        <v>153</v>
      </c>
      <c r="E105" s="380" t="s">
        <v>253</v>
      </c>
      <c r="F105" s="383">
        <v>2</v>
      </c>
      <c r="G105" s="383"/>
      <c r="H105" s="336"/>
      <c r="J105" s="380" t="s">
        <v>415</v>
      </c>
    </row>
    <row r="106" spans="1:10" ht="9.75" customHeight="1">
      <c r="A106" s="380" t="str">
        <f>'12.lan'!D423</f>
        <v>HTI Haiti</v>
      </c>
      <c r="B106" s="380" t="s">
        <v>416</v>
      </c>
      <c r="C106" s="383">
        <v>2.5559715054848908</v>
      </c>
      <c r="D106" s="380" t="s">
        <v>153</v>
      </c>
      <c r="E106" s="380" t="s">
        <v>244</v>
      </c>
      <c r="F106" s="383">
        <v>4</v>
      </c>
      <c r="G106" s="383" t="s">
        <v>243</v>
      </c>
      <c r="H106" s="336"/>
      <c r="J106" s="380" t="s">
        <v>417</v>
      </c>
    </row>
    <row r="107" spans="1:10" ht="9.75" customHeight="1">
      <c r="A107" s="380" t="str">
        <f>'12.lan'!D424</f>
        <v>HUN Ungarn</v>
      </c>
      <c r="B107" s="380" t="s">
        <v>418</v>
      </c>
      <c r="C107" s="383">
        <v>1.8682709664033588</v>
      </c>
      <c r="D107" s="380" t="s">
        <v>153</v>
      </c>
      <c r="E107" s="380" t="s">
        <v>253</v>
      </c>
      <c r="F107" s="383">
        <v>3</v>
      </c>
      <c r="G107" s="383"/>
      <c r="H107" s="336"/>
      <c r="J107" s="380" t="s">
        <v>419</v>
      </c>
    </row>
    <row r="108" spans="1:10" ht="9.75" customHeight="1">
      <c r="A108" s="380" t="str">
        <f>'12.lan'!D425</f>
        <v>IDN Indonesien</v>
      </c>
      <c r="B108" s="380" t="s">
        <v>420</v>
      </c>
      <c r="C108" s="383">
        <v>3.052667442321185</v>
      </c>
      <c r="D108" s="380" t="s">
        <v>153</v>
      </c>
      <c r="E108" s="380" t="s">
        <v>247</v>
      </c>
      <c r="F108" s="383">
        <v>5</v>
      </c>
      <c r="G108" s="383"/>
      <c r="H108" s="336"/>
      <c r="J108" s="380" t="s">
        <v>421</v>
      </c>
    </row>
    <row r="109" spans="1:10" ht="9.75" customHeight="1">
      <c r="A109" s="380" t="str">
        <f>'12.lan'!D426</f>
        <v>IMN Insel Man</v>
      </c>
      <c r="B109" s="380" t="s">
        <v>422</v>
      </c>
      <c r="C109" s="383">
        <v>3.1582663883155075</v>
      </c>
      <c r="D109" s="380" t="s">
        <v>153</v>
      </c>
      <c r="E109" s="380" t="s">
        <v>253</v>
      </c>
      <c r="F109" s="383">
        <v>2.5499999999999998</v>
      </c>
      <c r="G109" s="383" t="s">
        <v>243</v>
      </c>
      <c r="H109" s="336"/>
      <c r="J109" s="380" t="s">
        <v>423</v>
      </c>
    </row>
    <row r="110" spans="1:10" ht="9.75" customHeight="1">
      <c r="A110" s="380" t="str">
        <f>'12.lan'!D427</f>
        <v>IND Indien</v>
      </c>
      <c r="B110" s="380" t="s">
        <v>424</v>
      </c>
      <c r="C110" s="383">
        <v>3.6952012973943282</v>
      </c>
      <c r="D110" s="380" t="s">
        <v>153</v>
      </c>
      <c r="E110" s="380" t="s">
        <v>247</v>
      </c>
      <c r="F110" s="383">
        <v>5</v>
      </c>
      <c r="G110" s="383"/>
      <c r="H110" s="336"/>
      <c r="J110" s="380" t="s">
        <v>425</v>
      </c>
    </row>
    <row r="111" spans="1:10" ht="9.75" customHeight="1">
      <c r="A111" s="380" t="str">
        <f>'12.lan'!D428</f>
        <v>IRL Irland</v>
      </c>
      <c r="B111" s="380" t="s">
        <v>426</v>
      </c>
      <c r="C111" s="383">
        <v>1.0822388209746381</v>
      </c>
      <c r="D111" s="380" t="s">
        <v>153</v>
      </c>
      <c r="E111" s="380" t="s">
        <v>253</v>
      </c>
      <c r="F111" s="383">
        <v>1</v>
      </c>
      <c r="G111" s="383"/>
      <c r="H111" s="336"/>
      <c r="J111" s="380" t="s">
        <v>427</v>
      </c>
    </row>
    <row r="112" spans="1:10" ht="9.75" customHeight="1">
      <c r="A112" s="380" t="str">
        <f>'12.lan'!D429</f>
        <v>IRN Iran, Islamische Republik</v>
      </c>
      <c r="B112" s="380" t="s">
        <v>428</v>
      </c>
      <c r="C112" s="383">
        <v>3.7335153370245506</v>
      </c>
      <c r="D112" s="380">
        <v>2017</v>
      </c>
      <c r="E112" s="380" t="s">
        <v>247</v>
      </c>
      <c r="F112" s="383">
        <v>5</v>
      </c>
      <c r="G112" s="383"/>
      <c r="H112" s="336"/>
      <c r="J112" s="380" t="s">
        <v>429</v>
      </c>
    </row>
    <row r="113" spans="1:10" ht="9.75" customHeight="1">
      <c r="A113" s="380" t="str">
        <f>'12.lan'!D430</f>
        <v>IRQ Irak</v>
      </c>
      <c r="B113" s="380" t="s">
        <v>430</v>
      </c>
      <c r="C113" s="383">
        <v>3.1830633648787714</v>
      </c>
      <c r="D113" s="380" t="s">
        <v>153</v>
      </c>
      <c r="E113" s="380" t="s">
        <v>247</v>
      </c>
      <c r="F113" s="383">
        <v>5</v>
      </c>
      <c r="G113" s="383"/>
      <c r="H113" s="336"/>
      <c r="I113" s="384"/>
      <c r="J113" s="380" t="s">
        <v>431</v>
      </c>
    </row>
    <row r="114" spans="1:10" ht="9.75" customHeight="1">
      <c r="A114" s="380" t="str">
        <f>'12.lan'!D431</f>
        <v>ISL Island</v>
      </c>
      <c r="B114" s="380" t="s">
        <v>432</v>
      </c>
      <c r="C114" s="383">
        <v>1.0997998864430061</v>
      </c>
      <c r="D114" s="380" t="s">
        <v>153</v>
      </c>
      <c r="E114" s="380" t="s">
        <v>253</v>
      </c>
      <c r="F114" s="383">
        <v>1</v>
      </c>
      <c r="G114" s="383"/>
      <c r="H114" s="336"/>
      <c r="J114" s="380" t="s">
        <v>433</v>
      </c>
    </row>
    <row r="115" spans="1:10" ht="9.75" customHeight="1">
      <c r="A115" s="380" t="str">
        <f>'12.lan'!D432</f>
        <v>ISR Israel</v>
      </c>
      <c r="B115" s="380" t="s">
        <v>434</v>
      </c>
      <c r="C115" s="383">
        <v>1.1488930461127593</v>
      </c>
      <c r="D115" s="380" t="s">
        <v>153</v>
      </c>
      <c r="E115" s="380" t="s">
        <v>247</v>
      </c>
      <c r="F115" s="383">
        <v>2</v>
      </c>
      <c r="G115" s="383"/>
      <c r="H115" s="336"/>
      <c r="J115" s="380" t="s">
        <v>435</v>
      </c>
    </row>
    <row r="116" spans="1:10" ht="9.75" customHeight="1">
      <c r="A116" s="380" t="str">
        <f>'12.lan'!D433</f>
        <v>ITA Italien</v>
      </c>
      <c r="B116" s="380" t="s">
        <v>436</v>
      </c>
      <c r="C116" s="383">
        <v>1.18058804707867</v>
      </c>
      <c r="D116" s="380" t="s">
        <v>153</v>
      </c>
      <c r="E116" s="380" t="s">
        <v>253</v>
      </c>
      <c r="F116" s="383">
        <v>1</v>
      </c>
      <c r="G116" s="383"/>
      <c r="H116" s="336"/>
      <c r="J116" s="380" t="s">
        <v>437</v>
      </c>
    </row>
    <row r="117" spans="1:10" ht="9.75" customHeight="1">
      <c r="A117" s="380" t="str">
        <f>'12.lan'!D434</f>
        <v>JAM Jamaika</v>
      </c>
      <c r="B117" s="380" t="s">
        <v>438</v>
      </c>
      <c r="C117" s="383">
        <v>1.9209393690047585</v>
      </c>
      <c r="D117" s="380" t="s">
        <v>153</v>
      </c>
      <c r="E117" s="380" t="s">
        <v>244</v>
      </c>
      <c r="F117" s="383">
        <v>2</v>
      </c>
      <c r="G117" s="383" t="s">
        <v>243</v>
      </c>
      <c r="H117" s="336"/>
      <c r="J117" s="380" t="s">
        <v>439</v>
      </c>
    </row>
    <row r="118" spans="1:10" ht="9.75" customHeight="1">
      <c r="A118" s="380" t="str">
        <f>'12.lan'!D435</f>
        <v>JOR Jordanien</v>
      </c>
      <c r="B118" s="380" t="s">
        <v>440</v>
      </c>
      <c r="C118" s="383">
        <v>2.9016341425205781</v>
      </c>
      <c r="D118" s="380" t="s">
        <v>153</v>
      </c>
      <c r="E118" s="380" t="s">
        <v>247</v>
      </c>
      <c r="F118" s="383">
        <v>3</v>
      </c>
      <c r="G118" s="383"/>
      <c r="H118" s="336"/>
      <c r="J118" s="380" t="s">
        <v>441</v>
      </c>
    </row>
    <row r="119" spans="1:10" ht="9.75" customHeight="1">
      <c r="A119" s="380" t="str">
        <f>'12.lan'!D436</f>
        <v>JPN Japan</v>
      </c>
      <c r="B119" s="380" t="s">
        <v>442</v>
      </c>
      <c r="C119" s="383">
        <v>0.8748494360690553</v>
      </c>
      <c r="D119" s="380" t="s">
        <v>153</v>
      </c>
      <c r="E119" s="380" t="s">
        <v>247</v>
      </c>
      <c r="F119" s="383">
        <v>2</v>
      </c>
      <c r="G119" s="383"/>
      <c r="H119" s="336"/>
      <c r="J119" s="380" t="s">
        <v>443</v>
      </c>
    </row>
    <row r="120" spans="1:10" ht="9.75" customHeight="1">
      <c r="A120" s="380" t="str">
        <f>'12.lan'!D437</f>
        <v>KAZ Kasachstan</v>
      </c>
      <c r="B120" s="380" t="s">
        <v>444</v>
      </c>
      <c r="C120" s="383">
        <v>2.4969451602388362</v>
      </c>
      <c r="D120" s="380" t="s">
        <v>153</v>
      </c>
      <c r="E120" s="380" t="s">
        <v>247</v>
      </c>
      <c r="F120" s="383">
        <v>5</v>
      </c>
      <c r="G120" s="383" t="s">
        <v>243</v>
      </c>
      <c r="H120" s="336"/>
      <c r="J120" s="380" t="s">
        <v>445</v>
      </c>
    </row>
    <row r="121" spans="1:10" ht="9.75" customHeight="1">
      <c r="A121" s="380" t="str">
        <f>'12.lan'!D438</f>
        <v>KEN Kenia</v>
      </c>
      <c r="B121" s="380" t="s">
        <v>446</v>
      </c>
      <c r="C121" s="383">
        <v>2.884503139532673</v>
      </c>
      <c r="D121" s="380" t="s">
        <v>153</v>
      </c>
      <c r="E121" s="380" t="s">
        <v>250</v>
      </c>
      <c r="F121" s="383">
        <v>4</v>
      </c>
      <c r="G121" s="383"/>
      <c r="H121" s="336"/>
      <c r="J121" s="380" t="s">
        <v>447</v>
      </c>
    </row>
    <row r="122" spans="1:10" ht="9.75" customHeight="1">
      <c r="A122" s="380" t="str">
        <f>'12.lan'!D439</f>
        <v>KGZ Kirgisistan</v>
      </c>
      <c r="B122" s="380" t="s">
        <v>448</v>
      </c>
      <c r="C122" s="383">
        <v>3.5731183746633599</v>
      </c>
      <c r="D122" s="380" t="s">
        <v>153</v>
      </c>
      <c r="E122" s="380" t="s">
        <v>247</v>
      </c>
      <c r="F122" s="383">
        <v>4.47</v>
      </c>
      <c r="G122" s="383" t="s">
        <v>243</v>
      </c>
      <c r="H122" s="336"/>
      <c r="J122" s="380" t="s">
        <v>449</v>
      </c>
    </row>
    <row r="123" spans="1:10" ht="9.75" customHeight="1">
      <c r="A123" s="380" t="str">
        <f>'12.lan'!D440</f>
        <v>KHM Kambodscha</v>
      </c>
      <c r="B123" s="380" t="s">
        <v>450</v>
      </c>
      <c r="C123" s="383">
        <v>3.6188433577730028</v>
      </c>
      <c r="D123" s="380" t="s">
        <v>153</v>
      </c>
      <c r="E123" s="380" t="s">
        <v>247</v>
      </c>
      <c r="F123" s="383">
        <v>5</v>
      </c>
      <c r="G123" s="383"/>
      <c r="H123" s="336"/>
      <c r="J123" s="380" t="s">
        <v>451</v>
      </c>
    </row>
    <row r="124" spans="1:10" ht="9.75" customHeight="1">
      <c r="A124" s="380" t="str">
        <f>'12.lan'!D441</f>
        <v>KIR Kiribati</v>
      </c>
      <c r="B124" s="380" t="s">
        <v>452</v>
      </c>
      <c r="C124" s="383">
        <v>1.3016584596796117</v>
      </c>
      <c r="D124" s="380" t="s">
        <v>153</v>
      </c>
      <c r="E124" s="380" t="s">
        <v>264</v>
      </c>
      <c r="F124" s="383">
        <v>4.05</v>
      </c>
      <c r="G124" s="383" t="s">
        <v>243</v>
      </c>
      <c r="H124" s="336"/>
      <c r="J124" s="380" t="s">
        <v>453</v>
      </c>
    </row>
    <row r="125" spans="1:10" ht="9.75" customHeight="1">
      <c r="A125" s="380" t="str">
        <f>'12.lan'!D442</f>
        <v>KNA St. Kitts und Nevis</v>
      </c>
      <c r="B125" s="380" t="s">
        <v>454</v>
      </c>
      <c r="C125" s="383">
        <v>1.782941921200901</v>
      </c>
      <c r="D125" s="380" t="s">
        <v>153</v>
      </c>
      <c r="E125" s="380" t="s">
        <v>244</v>
      </c>
      <c r="F125" s="383">
        <v>3.52</v>
      </c>
      <c r="G125" s="383" t="s">
        <v>243</v>
      </c>
      <c r="H125" s="336"/>
      <c r="J125" s="380" t="s">
        <v>455</v>
      </c>
    </row>
    <row r="126" spans="1:10" ht="9.75" customHeight="1">
      <c r="A126" s="380" t="str">
        <f>'12.lan'!D443</f>
        <v>KOR Korea, Republik (Südkorea)</v>
      </c>
      <c r="B126" s="380" t="s">
        <v>456</v>
      </c>
      <c r="C126" s="383">
        <v>1.4988365450284866</v>
      </c>
      <c r="D126" s="380" t="s">
        <v>153</v>
      </c>
      <c r="E126" s="380" t="s">
        <v>247</v>
      </c>
      <c r="F126" s="383">
        <v>5</v>
      </c>
      <c r="G126" s="383"/>
      <c r="H126" s="336"/>
      <c r="J126" s="380" t="s">
        <v>457</v>
      </c>
    </row>
    <row r="127" spans="1:10" ht="9.75" customHeight="1">
      <c r="A127" s="380" t="str">
        <f>'12.lan'!D444</f>
        <v>KWT Kuwait</v>
      </c>
      <c r="B127" s="380" t="s">
        <v>458</v>
      </c>
      <c r="C127" s="383">
        <v>2.2015364595636884</v>
      </c>
      <c r="D127" s="380" t="s">
        <v>153</v>
      </c>
      <c r="E127" s="380" t="s">
        <v>247</v>
      </c>
      <c r="F127" s="383">
        <v>5</v>
      </c>
      <c r="G127" s="383" t="s">
        <v>243</v>
      </c>
      <c r="H127" s="336"/>
      <c r="J127" s="380" t="s">
        <v>459</v>
      </c>
    </row>
    <row r="128" spans="1:10" ht="9.75" customHeight="1">
      <c r="A128" s="380" t="str">
        <f>'12.lan'!D445</f>
        <v>LAO Laos, Demokratische Volksrepublik</v>
      </c>
      <c r="B128" s="380" t="s">
        <v>460</v>
      </c>
      <c r="C128" s="383">
        <v>4.1664964328469427</v>
      </c>
      <c r="D128" s="380" t="s">
        <v>153</v>
      </c>
      <c r="E128" s="380" t="s">
        <v>247</v>
      </c>
      <c r="F128" s="383">
        <v>5</v>
      </c>
      <c r="G128" s="383" t="s">
        <v>243</v>
      </c>
      <c r="H128" s="336"/>
      <c r="J128" s="380" t="s">
        <v>461</v>
      </c>
    </row>
    <row r="129" spans="1:10" ht="9.75" customHeight="1">
      <c r="A129" s="380" t="str">
        <f>'12.lan'!D446</f>
        <v>LBN Libanon</v>
      </c>
      <c r="B129" s="380" t="s">
        <v>462</v>
      </c>
      <c r="C129" s="383">
        <v>2.0930553388532713</v>
      </c>
      <c r="D129" s="380" t="s">
        <v>153</v>
      </c>
      <c r="E129" s="380" t="s">
        <v>247</v>
      </c>
      <c r="F129" s="383">
        <v>4</v>
      </c>
      <c r="G129" s="383"/>
      <c r="H129" s="336"/>
      <c r="J129" s="380" t="s">
        <v>463</v>
      </c>
    </row>
    <row r="130" spans="1:10" ht="9.75" customHeight="1">
      <c r="A130" s="380" t="str">
        <f>'12.lan'!D447</f>
        <v>LBR Liberia</v>
      </c>
      <c r="B130" s="380" t="s">
        <v>464</v>
      </c>
      <c r="C130" s="383">
        <v>2.4176960381992112</v>
      </c>
      <c r="D130" s="380" t="s">
        <v>153</v>
      </c>
      <c r="E130" s="380" t="s">
        <v>250</v>
      </c>
      <c r="F130" s="383">
        <v>3</v>
      </c>
      <c r="G130" s="383" t="s">
        <v>243</v>
      </c>
      <c r="H130" s="336"/>
      <c r="J130" s="380" t="s">
        <v>465</v>
      </c>
    </row>
    <row r="131" spans="1:10" ht="9.75" customHeight="1">
      <c r="A131" s="380" t="str">
        <f>'12.lan'!D448</f>
        <v>LBY Libyen</v>
      </c>
      <c r="B131" s="380" t="s">
        <v>466</v>
      </c>
      <c r="C131" s="383">
        <v>2.7550538663770916</v>
      </c>
      <c r="D131" s="380" t="s">
        <v>153</v>
      </c>
      <c r="E131" s="380" t="s">
        <v>250</v>
      </c>
      <c r="F131" s="383">
        <v>6</v>
      </c>
      <c r="G131" s="383"/>
      <c r="H131" s="336"/>
      <c r="J131" s="380" t="s">
        <v>467</v>
      </c>
    </row>
    <row r="132" spans="1:10" ht="9.75" customHeight="1">
      <c r="A132" s="380" t="str">
        <f>'12.lan'!D449</f>
        <v>LCA St. Lucia</v>
      </c>
      <c r="B132" s="380" t="s">
        <v>468</v>
      </c>
      <c r="C132" s="383">
        <v>1.635937257087039</v>
      </c>
      <c r="D132" s="380" t="s">
        <v>153</v>
      </c>
      <c r="E132" s="380" t="s">
        <v>244</v>
      </c>
      <c r="F132" s="383">
        <v>3.52</v>
      </c>
      <c r="G132" s="383" t="s">
        <v>243</v>
      </c>
      <c r="H132" s="336"/>
      <c r="J132" s="380" t="s">
        <v>469</v>
      </c>
    </row>
    <row r="133" spans="1:10" ht="9.75" customHeight="1">
      <c r="A133" s="380" t="str">
        <f>'12.lan'!D450</f>
        <v>LIE Liechtenstein</v>
      </c>
      <c r="B133" s="380" t="s">
        <v>470</v>
      </c>
      <c r="C133" s="383">
        <v>1.0331402674066741</v>
      </c>
      <c r="D133" s="380" t="s">
        <v>243</v>
      </c>
      <c r="E133" s="380" t="s">
        <v>253</v>
      </c>
      <c r="F133" s="383">
        <v>2.5499999999999998</v>
      </c>
      <c r="G133" s="383" t="s">
        <v>243</v>
      </c>
      <c r="H133" s="336"/>
      <c r="J133" s="380" t="s">
        <v>471</v>
      </c>
    </row>
    <row r="134" spans="1:10" ht="9.75" customHeight="1">
      <c r="A134" s="380" t="str">
        <f>'12.lan'!D451</f>
        <v>LKA Sri Lanka</v>
      </c>
      <c r="B134" s="380" t="s">
        <v>472</v>
      </c>
      <c r="C134" s="383">
        <v>3.2842716259501445</v>
      </c>
      <c r="D134" s="380" t="s">
        <v>153</v>
      </c>
      <c r="E134" s="380" t="s">
        <v>247</v>
      </c>
      <c r="F134" s="383">
        <v>4</v>
      </c>
      <c r="G134" s="383"/>
      <c r="J134" s="380" t="s">
        <v>473</v>
      </c>
    </row>
    <row r="135" spans="1:10" ht="9.75" customHeight="1">
      <c r="A135" s="380" t="str">
        <f>'12.lan'!D452</f>
        <v>LSO Lesotho</v>
      </c>
      <c r="B135" s="380" t="s">
        <v>474</v>
      </c>
      <c r="C135" s="383">
        <v>2.4781198555526789</v>
      </c>
      <c r="D135" s="380" t="s">
        <v>153</v>
      </c>
      <c r="E135" s="380" t="s">
        <v>250</v>
      </c>
      <c r="F135" s="383">
        <v>3</v>
      </c>
      <c r="G135" s="383" t="s">
        <v>243</v>
      </c>
      <c r="J135" s="380" t="s">
        <v>475</v>
      </c>
    </row>
    <row r="136" spans="1:10" ht="9.75" customHeight="1">
      <c r="A136" s="380" t="str">
        <f>'12.lan'!D453</f>
        <v>LTU Litauen</v>
      </c>
      <c r="B136" s="380" t="s">
        <v>476</v>
      </c>
      <c r="C136" s="383">
        <v>1.8514385154686119</v>
      </c>
      <c r="D136" s="380" t="s">
        <v>153</v>
      </c>
      <c r="E136" s="380" t="s">
        <v>253</v>
      </c>
      <c r="F136" s="383">
        <v>2</v>
      </c>
      <c r="G136" s="383"/>
      <c r="J136" s="380" t="s">
        <v>477</v>
      </c>
    </row>
    <row r="137" spans="1:10" ht="12.75" customHeight="1">
      <c r="A137" s="380" t="str">
        <f>'12.lan'!D454</f>
        <v>LUX Luxemburg</v>
      </c>
      <c r="B137" s="380" t="s">
        <v>478</v>
      </c>
      <c r="C137" s="383">
        <v>0.97168663646973519</v>
      </c>
      <c r="D137" s="380" t="s">
        <v>153</v>
      </c>
      <c r="E137" s="380" t="s">
        <v>253</v>
      </c>
      <c r="F137" s="383">
        <v>2.5499999999999998</v>
      </c>
      <c r="G137" s="383" t="s">
        <v>243</v>
      </c>
      <c r="H137" s="385"/>
      <c r="I137" s="385"/>
      <c r="J137" s="380" t="s">
        <v>479</v>
      </c>
    </row>
    <row r="138" spans="1:10" ht="9.75" customHeight="1">
      <c r="A138" s="380" t="str">
        <f>'12.lan'!D455</f>
        <v>LVA Lettland</v>
      </c>
      <c r="B138" s="380" t="s">
        <v>480</v>
      </c>
      <c r="C138" s="383">
        <v>1.6967416165349072</v>
      </c>
      <c r="D138" s="380" t="s">
        <v>153</v>
      </c>
      <c r="E138" s="380" t="s">
        <v>253</v>
      </c>
      <c r="F138" s="383">
        <v>2</v>
      </c>
      <c r="G138" s="383"/>
      <c r="H138" s="336"/>
      <c r="J138" s="380" t="s">
        <v>481</v>
      </c>
    </row>
    <row r="139" spans="1:10" ht="9.75" customHeight="1">
      <c r="A139" s="380" t="str">
        <f>'12.lan'!D456</f>
        <v>MAC Macao</v>
      </c>
      <c r="B139" s="380" t="s">
        <v>482</v>
      </c>
      <c r="C139" s="383">
        <v>1.4206426600102828</v>
      </c>
      <c r="D139" s="380" t="s">
        <v>153</v>
      </c>
      <c r="E139" s="380" t="s">
        <v>247</v>
      </c>
      <c r="F139" s="383">
        <v>4.47</v>
      </c>
      <c r="G139" s="383" t="s">
        <v>243</v>
      </c>
      <c r="H139" s="336"/>
      <c r="J139" s="380" t="s">
        <v>483</v>
      </c>
    </row>
    <row r="140" spans="1:10" ht="9.75" customHeight="1">
      <c r="A140" s="380" t="str">
        <f>'12.lan'!D457</f>
        <v>MAF Saint-Martin (franz. Teil)</v>
      </c>
      <c r="B140" s="380" t="s">
        <v>484</v>
      </c>
      <c r="C140" s="383">
        <v>1.0030456687149514</v>
      </c>
      <c r="D140" s="380" t="s">
        <v>243</v>
      </c>
      <c r="E140" s="380" t="s">
        <v>244</v>
      </c>
      <c r="F140" s="383">
        <v>3.52</v>
      </c>
      <c r="G140" s="383" t="s">
        <v>243</v>
      </c>
      <c r="H140" s="336"/>
      <c r="J140" s="380" t="s">
        <v>485</v>
      </c>
    </row>
    <row r="141" spans="1:10" ht="9.75" customHeight="1">
      <c r="A141" s="380" t="str">
        <f>'12.lan'!D458</f>
        <v>MAR Marokko</v>
      </c>
      <c r="B141" s="380" t="s">
        <v>486</v>
      </c>
      <c r="C141" s="383">
        <v>2.6726175090928428</v>
      </c>
      <c r="D141" s="380" t="s">
        <v>153</v>
      </c>
      <c r="E141" s="380" t="s">
        <v>250</v>
      </c>
      <c r="F141" s="383">
        <v>3</v>
      </c>
      <c r="G141" s="383"/>
      <c r="H141" s="336"/>
      <c r="J141" s="380" t="s">
        <v>487</v>
      </c>
    </row>
    <row r="142" spans="1:10" ht="9.75" customHeight="1">
      <c r="A142" s="380" t="str">
        <f>'12.lan'!D459</f>
        <v>MCO Monaco</v>
      </c>
      <c r="B142" s="380" t="s">
        <v>488</v>
      </c>
      <c r="C142" s="383">
        <v>1.0331402674066741</v>
      </c>
      <c r="D142" s="380" t="s">
        <v>243</v>
      </c>
      <c r="E142" s="380" t="s">
        <v>253</v>
      </c>
      <c r="F142" s="383">
        <v>2.5499999999999998</v>
      </c>
      <c r="G142" s="383" t="s">
        <v>243</v>
      </c>
      <c r="H142" s="336"/>
      <c r="J142" s="380" t="s">
        <v>489</v>
      </c>
    </row>
    <row r="143" spans="1:10" ht="9.75" customHeight="1">
      <c r="A143" s="380" t="str">
        <f>'12.lan'!D460</f>
        <v>MDA Moldawien (Republik Moldau)</v>
      </c>
      <c r="B143" s="380" t="s">
        <v>490</v>
      </c>
      <c r="C143" s="383">
        <v>2.2531572674343843</v>
      </c>
      <c r="D143" s="380" t="s">
        <v>153</v>
      </c>
      <c r="E143" s="380" t="s">
        <v>253</v>
      </c>
      <c r="F143" s="383">
        <v>2</v>
      </c>
      <c r="G143" s="383" t="s">
        <v>243</v>
      </c>
      <c r="H143" s="336"/>
      <c r="J143" s="380" t="s">
        <v>491</v>
      </c>
    </row>
    <row r="144" spans="1:10" ht="9.75" customHeight="1">
      <c r="A144" s="380" t="str">
        <f>'12.lan'!D461</f>
        <v>MDG Madagaskar</v>
      </c>
      <c r="B144" s="380" t="s">
        <v>492</v>
      </c>
      <c r="C144" s="383">
        <v>3.5854332894921193</v>
      </c>
      <c r="D144" s="380" t="s">
        <v>153</v>
      </c>
      <c r="E144" s="380" t="s">
        <v>250</v>
      </c>
      <c r="F144" s="383">
        <v>3</v>
      </c>
      <c r="G144" s="383" t="s">
        <v>243</v>
      </c>
      <c r="H144" s="336"/>
      <c r="J144" s="380" t="s">
        <v>493</v>
      </c>
    </row>
    <row r="145" spans="1:10" ht="9.75" customHeight="1">
      <c r="A145" s="380" t="str">
        <f>'12.lan'!D462</f>
        <v>MDV Malediven</v>
      </c>
      <c r="B145" s="380" t="s">
        <v>494</v>
      </c>
      <c r="C145" s="383">
        <v>1.4817821618029678</v>
      </c>
      <c r="D145" s="380" t="s">
        <v>153</v>
      </c>
      <c r="E145" s="380" t="s">
        <v>247</v>
      </c>
      <c r="F145" s="383">
        <v>4.47</v>
      </c>
      <c r="G145" s="383" t="s">
        <v>243</v>
      </c>
      <c r="H145" s="336"/>
      <c r="J145" s="380" t="s">
        <v>495</v>
      </c>
    </row>
    <row r="146" spans="1:10" ht="9.75" customHeight="1">
      <c r="A146" s="380" t="str">
        <f>'12.lan'!D463</f>
        <v>MEX Mexiko</v>
      </c>
      <c r="B146" s="380" t="s">
        <v>496</v>
      </c>
      <c r="C146" s="383">
        <v>2.0514561657854338</v>
      </c>
      <c r="D146" s="380" t="s">
        <v>153</v>
      </c>
      <c r="E146" s="380" t="s">
        <v>244</v>
      </c>
      <c r="F146" s="383">
        <v>4</v>
      </c>
      <c r="G146" s="383"/>
      <c r="H146" s="336"/>
      <c r="J146" s="380" t="s">
        <v>497</v>
      </c>
    </row>
    <row r="147" spans="1:10" ht="9.75" customHeight="1">
      <c r="A147" s="380" t="str">
        <f>'12.lan'!D464</f>
        <v>MHL Marshallinseln</v>
      </c>
      <c r="B147" s="380" t="s">
        <v>498</v>
      </c>
      <c r="C147" s="383">
        <v>1.0530267659439554</v>
      </c>
      <c r="D147" s="380" t="s">
        <v>153</v>
      </c>
      <c r="E147" s="380" t="s">
        <v>264</v>
      </c>
      <c r="F147" s="383">
        <v>4.05</v>
      </c>
      <c r="G147" s="383" t="s">
        <v>243</v>
      </c>
      <c r="H147" s="336"/>
      <c r="J147" s="380" t="s">
        <v>499</v>
      </c>
    </row>
    <row r="148" spans="1:10" ht="9.75" customHeight="1">
      <c r="A148" s="380" t="str">
        <f>'12.lan'!D465</f>
        <v>MKD Mazedonien</v>
      </c>
      <c r="B148" s="380" t="s">
        <v>500</v>
      </c>
      <c r="C148" s="383">
        <v>2.6889246837595864</v>
      </c>
      <c r="D148" s="380" t="s">
        <v>153</v>
      </c>
      <c r="E148" s="380" t="s">
        <v>253</v>
      </c>
      <c r="F148" s="383">
        <v>4</v>
      </c>
      <c r="G148" s="383" t="s">
        <v>243</v>
      </c>
      <c r="H148" s="336"/>
      <c r="J148" s="380" t="s">
        <v>501</v>
      </c>
    </row>
    <row r="149" spans="1:10" ht="9.75" customHeight="1">
      <c r="A149" s="380" t="str">
        <f>'12.lan'!D466</f>
        <v>MLI Mali</v>
      </c>
      <c r="B149" s="380" t="s">
        <v>502</v>
      </c>
      <c r="C149" s="383">
        <v>2.5750343868704619</v>
      </c>
      <c r="D149" s="380" t="s">
        <v>153</v>
      </c>
      <c r="E149" s="380" t="s">
        <v>250</v>
      </c>
      <c r="F149" s="383">
        <v>4</v>
      </c>
      <c r="G149" s="383" t="s">
        <v>243</v>
      </c>
      <c r="H149" s="336"/>
      <c r="J149" s="380" t="s">
        <v>503</v>
      </c>
    </row>
    <row r="150" spans="1:10" ht="9.75" customHeight="1">
      <c r="A150" s="380" t="str">
        <f>'12.lan'!D467</f>
        <v>MLT Malta</v>
      </c>
      <c r="B150" s="380" t="s">
        <v>504</v>
      </c>
      <c r="C150" s="383">
        <v>1.4147351004378084</v>
      </c>
      <c r="D150" s="380" t="s">
        <v>153</v>
      </c>
      <c r="E150" s="380" t="s">
        <v>253</v>
      </c>
      <c r="F150" s="383">
        <v>2.5499999999999998</v>
      </c>
      <c r="G150" s="383" t="s">
        <v>243</v>
      </c>
      <c r="H150" s="336"/>
      <c r="J150" s="380" t="s">
        <v>505</v>
      </c>
    </row>
    <row r="151" spans="1:10" ht="9.75" customHeight="1">
      <c r="A151" s="380" t="str">
        <f>'12.lan'!D468</f>
        <v>MMR Myanmar (Burma)</v>
      </c>
      <c r="B151" s="380" t="s">
        <v>506</v>
      </c>
      <c r="C151" s="383">
        <v>5.0333828056759575</v>
      </c>
      <c r="D151" s="380" t="s">
        <v>153</v>
      </c>
      <c r="E151" s="380" t="s">
        <v>247</v>
      </c>
      <c r="F151" s="383">
        <v>4</v>
      </c>
      <c r="G151" s="383"/>
      <c r="H151" s="336"/>
      <c r="J151" s="380" t="s">
        <v>507</v>
      </c>
    </row>
    <row r="152" spans="1:10" ht="9.75" customHeight="1">
      <c r="A152" s="380" t="str">
        <f>'12.lan'!D469</f>
        <v>MNE Montenegro</v>
      </c>
      <c r="B152" s="380" t="s">
        <v>508</v>
      </c>
      <c r="C152" s="383">
        <v>2.3393749834409423</v>
      </c>
      <c r="D152" s="380" t="s">
        <v>153</v>
      </c>
      <c r="E152" s="380" t="s">
        <v>253</v>
      </c>
      <c r="F152" s="383">
        <v>2</v>
      </c>
      <c r="G152" s="383" t="s">
        <v>243</v>
      </c>
      <c r="H152" s="336"/>
      <c r="J152" s="380" t="s">
        <v>509</v>
      </c>
    </row>
    <row r="153" spans="1:10" ht="9.75" customHeight="1">
      <c r="A153" s="380" t="str">
        <f>'12.lan'!D470</f>
        <v>MNG Mongolei</v>
      </c>
      <c r="B153" s="380" t="s">
        <v>510</v>
      </c>
      <c r="C153" s="383">
        <v>3.3480836191538326</v>
      </c>
      <c r="D153" s="380" t="s">
        <v>153</v>
      </c>
      <c r="E153" s="380" t="s">
        <v>247</v>
      </c>
      <c r="F153" s="383">
        <v>4.47</v>
      </c>
      <c r="G153" s="383" t="s">
        <v>243</v>
      </c>
      <c r="H153" s="336"/>
      <c r="J153" s="380" t="s">
        <v>511</v>
      </c>
    </row>
    <row r="154" spans="1:10" ht="9.75" customHeight="1">
      <c r="A154" s="380" t="str">
        <f>'12.lan'!D471</f>
        <v>MNP Nördliche Marianen</v>
      </c>
      <c r="B154" s="380" t="s">
        <v>512</v>
      </c>
      <c r="C154" s="383">
        <v>1.4985868712925843</v>
      </c>
      <c r="D154" s="380" t="s">
        <v>243</v>
      </c>
      <c r="E154" s="380" t="s">
        <v>264</v>
      </c>
      <c r="F154" s="383">
        <v>4.05</v>
      </c>
      <c r="G154" s="383" t="s">
        <v>243</v>
      </c>
      <c r="H154" s="336"/>
      <c r="J154" s="380" t="s">
        <v>513</v>
      </c>
    </row>
    <row r="155" spans="1:10" ht="9.75" customHeight="1">
      <c r="A155" s="380" t="str">
        <f>'12.lan'!D472</f>
        <v>MOZ Mosambik</v>
      </c>
      <c r="B155" s="380" t="s">
        <v>514</v>
      </c>
      <c r="C155" s="383">
        <v>2.925498126791934</v>
      </c>
      <c r="D155" s="380" t="s">
        <v>153</v>
      </c>
      <c r="E155" s="380" t="s">
        <v>250</v>
      </c>
      <c r="F155" s="383">
        <v>3</v>
      </c>
      <c r="G155" s="383"/>
      <c r="H155" s="336"/>
      <c r="J155" s="380" t="s">
        <v>515</v>
      </c>
    </row>
    <row r="156" spans="1:10" ht="9.75" customHeight="1">
      <c r="A156" s="380" t="str">
        <f>'12.lan'!D473</f>
        <v>MRT Mauretanien</v>
      </c>
      <c r="B156" s="380" t="s">
        <v>516</v>
      </c>
      <c r="C156" s="383">
        <v>3.4916255713805282</v>
      </c>
      <c r="D156" s="380" t="s">
        <v>153</v>
      </c>
      <c r="E156" s="380" t="s">
        <v>250</v>
      </c>
      <c r="F156" s="383">
        <v>4</v>
      </c>
      <c r="G156" s="383" t="s">
        <v>243</v>
      </c>
      <c r="H156" s="336"/>
      <c r="J156" s="380" t="s">
        <v>517</v>
      </c>
    </row>
    <row r="157" spans="1:10" ht="9.75" customHeight="1">
      <c r="A157" s="380" t="str">
        <f>'12.lan'!D474</f>
        <v>MUS Mauritius</v>
      </c>
      <c r="B157" s="380" t="s">
        <v>518</v>
      </c>
      <c r="C157" s="383">
        <v>2.1133234572217758</v>
      </c>
      <c r="D157" s="380" t="s">
        <v>153</v>
      </c>
      <c r="E157" s="380" t="s">
        <v>250</v>
      </c>
      <c r="F157" s="383">
        <v>3</v>
      </c>
      <c r="G157" s="383" t="s">
        <v>243</v>
      </c>
      <c r="H157" s="336"/>
      <c r="J157" s="380" t="s">
        <v>519</v>
      </c>
    </row>
    <row r="158" spans="1:10" ht="9.75" customHeight="1">
      <c r="A158" s="380" t="str">
        <f>'12.lan'!D475</f>
        <v>MWI Malawi</v>
      </c>
      <c r="B158" s="380" t="s">
        <v>520</v>
      </c>
      <c r="C158" s="383">
        <v>3.3667236177253614</v>
      </c>
      <c r="D158" s="380" t="s">
        <v>153</v>
      </c>
      <c r="E158" s="380" t="s">
        <v>250</v>
      </c>
      <c r="F158" s="383">
        <v>2</v>
      </c>
      <c r="G158" s="383" t="s">
        <v>243</v>
      </c>
      <c r="H158" s="336"/>
      <c r="J158" s="380" t="s">
        <v>521</v>
      </c>
    </row>
    <row r="159" spans="1:10" ht="9.75" customHeight="1">
      <c r="A159" s="380" t="str">
        <f>'12.lan'!D476</f>
        <v>MYS Malaysia</v>
      </c>
      <c r="B159" s="380" t="s">
        <v>522</v>
      </c>
      <c r="C159" s="383">
        <v>2.7944695540958651</v>
      </c>
      <c r="D159" s="380" t="s">
        <v>153</v>
      </c>
      <c r="E159" s="380" t="s">
        <v>247</v>
      </c>
      <c r="F159" s="383">
        <v>4</v>
      </c>
      <c r="G159" s="383"/>
      <c r="H159" s="336"/>
      <c r="J159" s="380" t="s">
        <v>523</v>
      </c>
    </row>
    <row r="160" spans="1:10" ht="9.75" customHeight="1">
      <c r="A160" s="380" t="str">
        <f>'12.lan'!D477</f>
        <v>NAM Namibia</v>
      </c>
      <c r="B160" s="380" t="s">
        <v>524</v>
      </c>
      <c r="C160" s="383">
        <v>1.871687194220534</v>
      </c>
      <c r="D160" s="380" t="s">
        <v>153</v>
      </c>
      <c r="E160" s="380" t="s">
        <v>250</v>
      </c>
      <c r="F160" s="383">
        <v>3</v>
      </c>
      <c r="G160" s="383"/>
      <c r="H160" s="336"/>
      <c r="J160" s="380" t="s">
        <v>525</v>
      </c>
    </row>
    <row r="161" spans="1:10" ht="9.75" customHeight="1">
      <c r="A161" s="380" t="str">
        <f>'12.lan'!D478</f>
        <v>NCL Neukaledonien</v>
      </c>
      <c r="B161" s="380" t="s">
        <v>526</v>
      </c>
      <c r="C161" s="383">
        <v>1.4985868712925843</v>
      </c>
      <c r="D161" s="380" t="s">
        <v>243</v>
      </c>
      <c r="E161" s="380" t="s">
        <v>264</v>
      </c>
      <c r="F161" s="383">
        <v>4.05</v>
      </c>
      <c r="G161" s="383" t="s">
        <v>243</v>
      </c>
      <c r="H161" s="336"/>
      <c r="J161" s="380" t="s">
        <v>527</v>
      </c>
    </row>
    <row r="162" spans="1:10" ht="9.75" customHeight="1">
      <c r="A162" s="380" t="str">
        <f>'12.lan'!D479</f>
        <v>NER Niger</v>
      </c>
      <c r="B162" s="380" t="s">
        <v>528</v>
      </c>
      <c r="C162" s="383">
        <v>2.5687739923792727</v>
      </c>
      <c r="D162" s="380" t="s">
        <v>153</v>
      </c>
      <c r="E162" s="380" t="s">
        <v>250</v>
      </c>
      <c r="F162" s="383">
        <v>3.79</v>
      </c>
      <c r="G162" s="383" t="s">
        <v>243</v>
      </c>
      <c r="H162" s="336"/>
      <c r="J162" s="380" t="s">
        <v>529</v>
      </c>
    </row>
    <row r="163" spans="1:10" ht="9.75" customHeight="1">
      <c r="A163" s="380" t="str">
        <f>'12.lan'!D480</f>
        <v>NGA Nigeria</v>
      </c>
      <c r="B163" s="380" t="s">
        <v>530</v>
      </c>
      <c r="C163" s="383">
        <v>2.9538032190358798</v>
      </c>
      <c r="D163" s="380" t="s">
        <v>153</v>
      </c>
      <c r="E163" s="380" t="s">
        <v>250</v>
      </c>
      <c r="F163" s="383">
        <v>4</v>
      </c>
      <c r="G163" s="383"/>
      <c r="H163" s="336"/>
      <c r="J163" s="380" t="s">
        <v>531</v>
      </c>
    </row>
    <row r="164" spans="1:10" ht="9.75" customHeight="1">
      <c r="A164" s="380" t="str">
        <f>'12.lan'!D481</f>
        <v>NIC Nicaragua</v>
      </c>
      <c r="B164" s="380" t="s">
        <v>532</v>
      </c>
      <c r="C164" s="383">
        <v>2.7273721562037339</v>
      </c>
      <c r="D164" s="380" t="s">
        <v>153</v>
      </c>
      <c r="E164" s="380" t="s">
        <v>244</v>
      </c>
      <c r="F164" s="383">
        <v>3.52</v>
      </c>
      <c r="G164" s="383" t="s">
        <v>243</v>
      </c>
      <c r="H164" s="336"/>
      <c r="J164" s="380" t="s">
        <v>533</v>
      </c>
    </row>
    <row r="165" spans="1:10" ht="9.75" customHeight="1">
      <c r="A165" s="380" t="str">
        <f>'12.lan'!D482</f>
        <v>NLD Niederlande</v>
      </c>
      <c r="B165" s="380" t="s">
        <v>534</v>
      </c>
      <c r="C165" s="383">
        <v>1.0623279690828258</v>
      </c>
      <c r="D165" s="380" t="s">
        <v>153</v>
      </c>
      <c r="E165" s="380" t="s">
        <v>253</v>
      </c>
      <c r="F165" s="383">
        <v>1</v>
      </c>
      <c r="G165" s="383"/>
      <c r="H165" s="336"/>
      <c r="J165" s="380" t="s">
        <v>535</v>
      </c>
    </row>
    <row r="166" spans="1:10" ht="9.75" customHeight="1">
      <c r="A166" s="380" t="str">
        <f>'12.lan'!D483</f>
        <v>NOR Norwegen</v>
      </c>
      <c r="B166" s="380" t="s">
        <v>536</v>
      </c>
      <c r="C166" s="383">
        <v>0.80187017916535686</v>
      </c>
      <c r="D166" s="380" t="s">
        <v>153</v>
      </c>
      <c r="E166" s="380" t="s">
        <v>253</v>
      </c>
      <c r="F166" s="383">
        <v>1</v>
      </c>
      <c r="G166" s="383"/>
      <c r="H166" s="336"/>
      <c r="J166" s="380" t="s">
        <v>537</v>
      </c>
    </row>
    <row r="167" spans="1:10" ht="9.75" customHeight="1">
      <c r="A167" s="380" t="str">
        <f>'12.lan'!D484</f>
        <v>NPL Nepal</v>
      </c>
      <c r="B167" s="380" t="s">
        <v>538</v>
      </c>
      <c r="C167" s="383">
        <v>2.9882185957628882</v>
      </c>
      <c r="D167" s="380" t="s">
        <v>153</v>
      </c>
      <c r="E167" s="380" t="s">
        <v>247</v>
      </c>
      <c r="F167" s="383">
        <v>3</v>
      </c>
      <c r="G167" s="383"/>
      <c r="H167" s="336"/>
      <c r="J167" s="380" t="s">
        <v>539</v>
      </c>
    </row>
    <row r="168" spans="1:10" ht="9.75" customHeight="1">
      <c r="A168" s="380" t="str">
        <f>'12.lan'!D485</f>
        <v>NRU Nauru</v>
      </c>
      <c r="B168" s="380" t="s">
        <v>540</v>
      </c>
      <c r="C168" s="383">
        <v>1.6689691083595983</v>
      </c>
      <c r="D168" s="380" t="s">
        <v>153</v>
      </c>
      <c r="E168" s="380" t="s">
        <v>264</v>
      </c>
      <c r="F168" s="383">
        <v>4.05</v>
      </c>
      <c r="G168" s="383" t="s">
        <v>243</v>
      </c>
      <c r="H168" s="336"/>
      <c r="J168" s="380" t="s">
        <v>541</v>
      </c>
    </row>
    <row r="169" spans="1:10" ht="9.75" customHeight="1">
      <c r="A169" s="380" t="str">
        <f>'12.lan'!D486</f>
        <v>NZL Neuseeland</v>
      </c>
      <c r="B169" s="380" t="s">
        <v>542</v>
      </c>
      <c r="C169" s="383">
        <v>0.9775920046140385</v>
      </c>
      <c r="D169" s="380" t="s">
        <v>153</v>
      </c>
      <c r="E169" s="380" t="s">
        <v>264</v>
      </c>
      <c r="F169" s="383">
        <v>2</v>
      </c>
      <c r="G169" s="383" t="s">
        <v>243</v>
      </c>
      <c r="H169" s="336"/>
      <c r="J169" s="380" t="s">
        <v>543</v>
      </c>
    </row>
    <row r="170" spans="1:10" ht="9.75" customHeight="1">
      <c r="A170" s="380" t="str">
        <f>'12.lan'!D487</f>
        <v>OMN Oman</v>
      </c>
      <c r="B170" s="380" t="s">
        <v>544</v>
      </c>
      <c r="C170" s="383">
        <v>2.5500781849125738</v>
      </c>
      <c r="D170" s="380" t="s">
        <v>153</v>
      </c>
      <c r="E170" s="380" t="s">
        <v>247</v>
      </c>
      <c r="F170" s="383">
        <v>4</v>
      </c>
      <c r="G170" s="383"/>
      <c r="H170" s="336"/>
      <c r="J170" s="380" t="s">
        <v>545</v>
      </c>
    </row>
    <row r="171" spans="1:10" ht="9.75" customHeight="1">
      <c r="A171" s="380" t="str">
        <f>'12.lan'!D488</f>
        <v>PAK Pakistan</v>
      </c>
      <c r="B171" s="380" t="s">
        <v>546</v>
      </c>
      <c r="C171" s="383">
        <v>3.7554264063798555</v>
      </c>
      <c r="D171" s="380" t="s">
        <v>153</v>
      </c>
      <c r="E171" s="380" t="s">
        <v>247</v>
      </c>
      <c r="F171" s="383">
        <v>4</v>
      </c>
      <c r="G171" s="383"/>
      <c r="H171" s="336"/>
      <c r="J171" s="380" t="s">
        <v>547</v>
      </c>
    </row>
    <row r="172" spans="1:10" ht="9.75" customHeight="1">
      <c r="A172" s="380" t="str">
        <f>'12.lan'!D489</f>
        <v>PAN Panama</v>
      </c>
      <c r="B172" s="380" t="s">
        <v>548</v>
      </c>
      <c r="C172" s="383">
        <v>1.6406791448079765</v>
      </c>
      <c r="D172" s="380" t="s">
        <v>153</v>
      </c>
      <c r="E172" s="380" t="s">
        <v>244</v>
      </c>
      <c r="F172" s="383">
        <v>4</v>
      </c>
      <c r="G172" s="383"/>
      <c r="H172" s="336"/>
      <c r="J172" s="380" t="s">
        <v>549</v>
      </c>
    </row>
    <row r="173" spans="1:10" ht="9.75" customHeight="1">
      <c r="A173" s="380" t="str">
        <f>'12.lan'!D490</f>
        <v>PER Peru</v>
      </c>
      <c r="B173" s="380" t="s">
        <v>550</v>
      </c>
      <c r="C173" s="383">
        <v>2.0771619037834115</v>
      </c>
      <c r="D173" s="380" t="s">
        <v>153</v>
      </c>
      <c r="E173" s="380" t="s">
        <v>244</v>
      </c>
      <c r="F173" s="383">
        <v>4</v>
      </c>
      <c r="G173" s="383"/>
      <c r="H173" s="336"/>
      <c r="J173" s="380" t="s">
        <v>551</v>
      </c>
    </row>
    <row r="174" spans="1:10" ht="9.75" customHeight="1">
      <c r="A174" s="380" t="str">
        <f>'12.lan'!D491</f>
        <v>PHL Philippinen</v>
      </c>
      <c r="B174" s="380" t="s">
        <v>552</v>
      </c>
      <c r="C174" s="383">
        <v>2.8849218750079002</v>
      </c>
      <c r="D174" s="380" t="s">
        <v>153</v>
      </c>
      <c r="E174" s="380" t="s">
        <v>247</v>
      </c>
      <c r="F174" s="383">
        <v>5</v>
      </c>
      <c r="G174" s="383"/>
      <c r="H174" s="336"/>
      <c r="J174" s="380" t="s">
        <v>553</v>
      </c>
    </row>
    <row r="175" spans="1:10" ht="9.75" customHeight="1">
      <c r="A175" s="380" t="str">
        <f>'12.lan'!D492</f>
        <v>PLW Palau</v>
      </c>
      <c r="B175" s="380" t="s">
        <v>554</v>
      </c>
      <c r="C175" s="383">
        <v>1.1671421979595509</v>
      </c>
      <c r="D175" s="380" t="s">
        <v>153</v>
      </c>
      <c r="E175" s="380" t="s">
        <v>264</v>
      </c>
      <c r="F175" s="383">
        <v>4.05</v>
      </c>
      <c r="G175" s="383" t="s">
        <v>243</v>
      </c>
      <c r="H175" s="336"/>
      <c r="J175" s="380" t="s">
        <v>555</v>
      </c>
    </row>
    <row r="176" spans="1:10" ht="9.75" customHeight="1">
      <c r="A176" s="380" t="str">
        <f>'12.lan'!D493</f>
        <v>PNG Papua-Neuguinea</v>
      </c>
      <c r="B176" s="380" t="s">
        <v>556</v>
      </c>
      <c r="C176" s="383">
        <v>1.5882081386506723</v>
      </c>
      <c r="D176" s="380" t="s">
        <v>153</v>
      </c>
      <c r="E176" s="380" t="s">
        <v>264</v>
      </c>
      <c r="F176" s="383">
        <v>4.05</v>
      </c>
      <c r="G176" s="383" t="s">
        <v>243</v>
      </c>
      <c r="H176" s="336"/>
      <c r="J176" s="380" t="s">
        <v>557</v>
      </c>
    </row>
    <row r="177" spans="1:10" ht="9.75" customHeight="1">
      <c r="A177" s="380" t="str">
        <f>'12.lan'!D494</f>
        <v>POL Polen</v>
      </c>
      <c r="B177" s="380" t="s">
        <v>558</v>
      </c>
      <c r="C177" s="383">
        <v>2.032085080094546</v>
      </c>
      <c r="D177" s="380" t="s">
        <v>153</v>
      </c>
      <c r="E177" s="380" t="s">
        <v>253</v>
      </c>
      <c r="F177" s="383">
        <v>3</v>
      </c>
      <c r="G177" s="383"/>
      <c r="H177" s="336"/>
      <c r="J177" s="380" t="s">
        <v>559</v>
      </c>
    </row>
    <row r="178" spans="1:10" ht="9.75" customHeight="1">
      <c r="A178" s="380" t="str">
        <f>'12.lan'!D495</f>
        <v>PRI Puerto Rico</v>
      </c>
      <c r="B178" s="380" t="s">
        <v>560</v>
      </c>
      <c r="C178" s="383">
        <v>1.2492544311641729</v>
      </c>
      <c r="D178" s="380" t="s">
        <v>153</v>
      </c>
      <c r="E178" s="380" t="s">
        <v>244</v>
      </c>
      <c r="F178" s="383">
        <v>3.52</v>
      </c>
      <c r="G178" s="383" t="s">
        <v>243</v>
      </c>
      <c r="H178" s="336"/>
      <c r="J178" s="380" t="s">
        <v>561</v>
      </c>
    </row>
    <row r="179" spans="1:10" ht="9.75" customHeight="1">
      <c r="A179" s="380" t="str">
        <f>'12.lan'!D496</f>
        <v>PRK Korea, Demokratische Volksrepublik (Nordkorea)</v>
      </c>
      <c r="B179" s="380" t="s">
        <v>562</v>
      </c>
      <c r="C179" s="383">
        <v>3.7231875078645835</v>
      </c>
      <c r="D179" s="380" t="s">
        <v>243</v>
      </c>
      <c r="E179" s="380" t="s">
        <v>247</v>
      </c>
      <c r="F179" s="383">
        <v>4.47</v>
      </c>
      <c r="G179" s="383" t="s">
        <v>243</v>
      </c>
      <c r="H179" s="336"/>
      <c r="J179" s="380" t="s">
        <v>563</v>
      </c>
    </row>
    <row r="180" spans="1:10" ht="9.75" customHeight="1">
      <c r="A180" s="380" t="str">
        <f>'12.lan'!D497</f>
        <v>PRT Portugal</v>
      </c>
      <c r="B180" s="380" t="s">
        <v>564</v>
      </c>
      <c r="C180" s="383">
        <v>1.4275278215900897</v>
      </c>
      <c r="D180" s="380" t="s">
        <v>153</v>
      </c>
      <c r="E180" s="380" t="s">
        <v>253</v>
      </c>
      <c r="F180" s="383">
        <v>2</v>
      </c>
      <c r="G180" s="383"/>
      <c r="H180" s="336"/>
      <c r="J180" s="380" t="s">
        <v>565</v>
      </c>
    </row>
    <row r="181" spans="1:10" ht="9.75" customHeight="1">
      <c r="A181" s="380" t="str">
        <f>'12.lan'!D498</f>
        <v>PRY Paraguay</v>
      </c>
      <c r="B181" s="380" t="s">
        <v>566</v>
      </c>
      <c r="C181" s="383">
        <v>2.3360289093573541</v>
      </c>
      <c r="D181" s="380" t="s">
        <v>153</v>
      </c>
      <c r="E181" s="380" t="s">
        <v>244</v>
      </c>
      <c r="F181" s="383">
        <v>4</v>
      </c>
      <c r="G181" s="383"/>
      <c r="H181" s="336"/>
      <c r="J181" s="380" t="s">
        <v>567</v>
      </c>
    </row>
    <row r="182" spans="1:10" ht="9.75" customHeight="1">
      <c r="A182" s="380" t="str">
        <f>'12.lan'!D499</f>
        <v>PSE Palästinensische Autonomiegebiete</v>
      </c>
      <c r="B182" s="380" t="s">
        <v>568</v>
      </c>
      <c r="C182" s="383">
        <v>1.6123112187774657</v>
      </c>
      <c r="D182" s="380" t="s">
        <v>153</v>
      </c>
      <c r="E182" s="380" t="s">
        <v>247</v>
      </c>
      <c r="F182" s="383">
        <v>6</v>
      </c>
      <c r="G182" s="383" t="s">
        <v>243</v>
      </c>
      <c r="H182" s="336"/>
      <c r="J182" s="380" t="s">
        <v>569</v>
      </c>
    </row>
    <row r="183" spans="1:10" ht="9.75" customHeight="1">
      <c r="A183" s="380" t="str">
        <f>'12.lan'!D500</f>
        <v>PYF Französisch-Polynesien</v>
      </c>
      <c r="B183" s="380" t="s">
        <v>570</v>
      </c>
      <c r="C183" s="383">
        <v>1.4985868712925843</v>
      </c>
      <c r="D183" s="380" t="s">
        <v>243</v>
      </c>
      <c r="E183" s="380" t="s">
        <v>264</v>
      </c>
      <c r="F183" s="383">
        <v>4.05</v>
      </c>
      <c r="G183" s="383" t="s">
        <v>243</v>
      </c>
      <c r="H183" s="336"/>
      <c r="I183" s="382"/>
      <c r="J183" s="380" t="s">
        <v>571</v>
      </c>
    </row>
    <row r="184" spans="1:10" ht="9.75" customHeight="1">
      <c r="A184" s="380" t="str">
        <f>'12.lan'!D501</f>
        <v>QAT Katar</v>
      </c>
      <c r="B184" s="380" t="s">
        <v>572</v>
      </c>
      <c r="C184" s="383">
        <v>1.8446205128798234</v>
      </c>
      <c r="D184" s="380" t="s">
        <v>153</v>
      </c>
      <c r="E184" s="380" t="s">
        <v>247</v>
      </c>
      <c r="F184" s="383">
        <v>4.47</v>
      </c>
      <c r="G184" s="383"/>
      <c r="H184" s="336"/>
      <c r="J184" s="380" t="s">
        <v>573</v>
      </c>
    </row>
    <row r="185" spans="1:10" ht="9.75" customHeight="1">
      <c r="A185" s="380" t="str">
        <f>'12.lan'!D502</f>
        <v>ROU Rumänien</v>
      </c>
      <c r="B185" s="380" t="s">
        <v>574</v>
      </c>
      <c r="C185" s="383">
        <v>2.2929785896009807</v>
      </c>
      <c r="D185" s="380" t="s">
        <v>153</v>
      </c>
      <c r="E185" s="380" t="s">
        <v>253</v>
      </c>
      <c r="F185" s="383">
        <v>4</v>
      </c>
      <c r="G185" s="383"/>
      <c r="H185" s="336"/>
      <c r="J185" s="380" t="s">
        <v>575</v>
      </c>
    </row>
    <row r="186" spans="1:10" ht="9.75" customHeight="1">
      <c r="A186" s="380" t="str">
        <f>'12.lan'!D503</f>
        <v>RUS Russische Föderation</v>
      </c>
      <c r="B186" s="380" t="s">
        <v>576</v>
      </c>
      <c r="C186" s="383">
        <v>2.4438322697966557</v>
      </c>
      <c r="D186" s="380" t="s">
        <v>153</v>
      </c>
      <c r="E186" s="380" t="s">
        <v>253</v>
      </c>
      <c r="F186" s="383">
        <v>3</v>
      </c>
      <c r="G186" s="383"/>
      <c r="H186" s="336"/>
      <c r="J186" s="380" t="s">
        <v>577</v>
      </c>
    </row>
    <row r="187" spans="1:10" ht="9.75" customHeight="1">
      <c r="A187" s="380" t="str">
        <f>'12.lan'!D504</f>
        <v>RWA Ruanda</v>
      </c>
      <c r="B187" s="380" t="s">
        <v>578</v>
      </c>
      <c r="C187" s="383">
        <v>2.912960122179939</v>
      </c>
      <c r="D187" s="380" t="s">
        <v>153</v>
      </c>
      <c r="E187" s="380" t="s">
        <v>250</v>
      </c>
      <c r="F187" s="383">
        <v>3</v>
      </c>
      <c r="G187" s="383" t="s">
        <v>243</v>
      </c>
      <c r="H187" s="336"/>
      <c r="J187" s="380" t="s">
        <v>579</v>
      </c>
    </row>
    <row r="188" spans="1:10" ht="9.75" customHeight="1">
      <c r="A188" s="380" t="str">
        <f>'12.lan'!D505</f>
        <v>SAU Saudi-Arabien</v>
      </c>
      <c r="B188" s="380" t="s">
        <v>580</v>
      </c>
      <c r="C188" s="383">
        <v>2.1038062136226383</v>
      </c>
      <c r="D188" s="380" t="s">
        <v>153</v>
      </c>
      <c r="E188" s="380" t="s">
        <v>247</v>
      </c>
      <c r="F188" s="383">
        <v>5</v>
      </c>
      <c r="G188" s="383"/>
      <c r="H188" s="336"/>
      <c r="J188" s="380" t="s">
        <v>581</v>
      </c>
    </row>
    <row r="189" spans="1:10" ht="9.75" customHeight="1">
      <c r="A189" s="380" t="str">
        <f>'12.lan'!D506</f>
        <v>SDN Sudan</v>
      </c>
      <c r="B189" s="380" t="s">
        <v>582</v>
      </c>
      <c r="C189" s="383">
        <v>4.328863187846788</v>
      </c>
      <c r="D189" s="380" t="s">
        <v>153</v>
      </c>
      <c r="E189" s="380" t="s">
        <v>250</v>
      </c>
      <c r="F189" s="383">
        <v>6</v>
      </c>
      <c r="G189" s="383"/>
      <c r="H189" s="336"/>
      <c r="J189" s="380" t="s">
        <v>583</v>
      </c>
    </row>
    <row r="190" spans="1:10" ht="9.75" customHeight="1">
      <c r="A190" s="380" t="str">
        <f>'12.lan'!D507</f>
        <v>SEN Senegal</v>
      </c>
      <c r="B190" s="380" t="s">
        <v>584</v>
      </c>
      <c r="C190" s="383">
        <v>2.4853180323217741</v>
      </c>
      <c r="D190" s="380" t="s">
        <v>153</v>
      </c>
      <c r="E190" s="380" t="s">
        <v>250</v>
      </c>
      <c r="F190" s="383">
        <v>4</v>
      </c>
      <c r="G190" s="383"/>
      <c r="H190" s="336"/>
      <c r="J190" s="380" t="s">
        <v>585</v>
      </c>
    </row>
    <row r="191" spans="1:10" ht="9.75" customHeight="1">
      <c r="A191" s="380" t="str">
        <f>'12.lan'!D508</f>
        <v>SGP Singapur</v>
      </c>
      <c r="B191" s="380" t="s">
        <v>586</v>
      </c>
      <c r="C191" s="383">
        <v>1.5721364813537879</v>
      </c>
      <c r="D191" s="380" t="s">
        <v>153</v>
      </c>
      <c r="E191" s="380" t="s">
        <v>247</v>
      </c>
      <c r="F191" s="383">
        <v>2</v>
      </c>
      <c r="G191" s="383"/>
      <c r="H191" s="336"/>
      <c r="J191" s="380" t="s">
        <v>587</v>
      </c>
    </row>
    <row r="192" spans="1:10" ht="9.75" customHeight="1">
      <c r="A192" s="380" t="str">
        <f>'12.lan'!D509</f>
        <v>SLB Salomonen</v>
      </c>
      <c r="B192" s="380" t="s">
        <v>588</v>
      </c>
      <c r="C192" s="383">
        <v>1.1333817085363669</v>
      </c>
      <c r="D192" s="380" t="s">
        <v>153</v>
      </c>
      <c r="E192" s="380" t="s">
        <v>264</v>
      </c>
      <c r="F192" s="383">
        <v>4.05</v>
      </c>
      <c r="G192" s="383" t="s">
        <v>243</v>
      </c>
      <c r="H192" s="336"/>
      <c r="J192" s="380" t="s">
        <v>589</v>
      </c>
    </row>
    <row r="193" spans="1:10" ht="9.75" customHeight="1">
      <c r="A193" s="380" t="str">
        <f>'12.lan'!D510</f>
        <v>SLE Sierra Leone</v>
      </c>
      <c r="B193" s="380" t="s">
        <v>590</v>
      </c>
      <c r="C193" s="383">
        <v>3.0000008915523013</v>
      </c>
      <c r="D193" s="380" t="s">
        <v>153</v>
      </c>
      <c r="E193" s="380" t="s">
        <v>250</v>
      </c>
      <c r="F193" s="383">
        <v>5</v>
      </c>
      <c r="G193" s="383" t="s">
        <v>243</v>
      </c>
      <c r="H193" s="336"/>
      <c r="J193" s="380" t="s">
        <v>591</v>
      </c>
    </row>
    <row r="194" spans="1:10" ht="9.75" customHeight="1">
      <c r="A194" s="380" t="str">
        <f>'12.lan'!D511</f>
        <v>SLV El Salvador</v>
      </c>
      <c r="B194" s="380" t="s">
        <v>592</v>
      </c>
      <c r="C194" s="383">
        <v>2.0530522106897235</v>
      </c>
      <c r="D194" s="380" t="s">
        <v>153</v>
      </c>
      <c r="E194" s="380" t="s">
        <v>244</v>
      </c>
      <c r="F194" s="383">
        <v>3</v>
      </c>
      <c r="G194" s="383"/>
      <c r="H194" s="336"/>
      <c r="J194" s="380" t="s">
        <v>593</v>
      </c>
    </row>
    <row r="195" spans="1:10" ht="9.75" customHeight="1">
      <c r="A195" s="380" t="str">
        <f>'12.lan'!D512</f>
        <v>SMR San Marino</v>
      </c>
      <c r="B195" s="380" t="s">
        <v>594</v>
      </c>
      <c r="C195" s="383">
        <v>1.2998787403696581</v>
      </c>
      <c r="D195" s="380">
        <v>2017</v>
      </c>
      <c r="E195" s="380" t="s">
        <v>253</v>
      </c>
      <c r="F195" s="383">
        <v>2.5499999999999998</v>
      </c>
      <c r="G195" s="383" t="s">
        <v>243</v>
      </c>
      <c r="H195" s="336"/>
      <c r="J195" s="380" t="s">
        <v>595</v>
      </c>
    </row>
    <row r="196" spans="1:10" ht="9.75" customHeight="1">
      <c r="A196" s="380" t="str">
        <f>'12.lan'!D513</f>
        <v>SOM Somalia</v>
      </c>
      <c r="B196" s="380" t="s">
        <v>596</v>
      </c>
      <c r="C196" s="383">
        <v>2.514550394779445</v>
      </c>
      <c r="D196" s="380" t="s">
        <v>243</v>
      </c>
      <c r="E196" s="380" t="s">
        <v>250</v>
      </c>
      <c r="F196" s="383">
        <v>6</v>
      </c>
      <c r="G196" s="383" t="s">
        <v>243</v>
      </c>
      <c r="H196" s="336"/>
      <c r="J196" s="380" t="s">
        <v>597</v>
      </c>
    </row>
    <row r="197" spans="1:10" ht="9.75" customHeight="1">
      <c r="A197" s="380" t="str">
        <f>'12.lan'!D514</f>
        <v>SRB Serbien</v>
      </c>
      <c r="B197" s="380" t="s">
        <v>598</v>
      </c>
      <c r="C197" s="383">
        <v>2.4059006119375055</v>
      </c>
      <c r="D197" s="380" t="s">
        <v>153</v>
      </c>
      <c r="E197" s="380" t="s">
        <v>253</v>
      </c>
      <c r="F197" s="383">
        <v>4</v>
      </c>
      <c r="G197" s="383"/>
      <c r="H197" s="336"/>
      <c r="J197" s="380" t="s">
        <v>599</v>
      </c>
    </row>
    <row r="198" spans="1:10" ht="9.75" customHeight="1">
      <c r="A198" s="380" t="str">
        <f>'12.lan'!D515</f>
        <v>SSD Südsudan</v>
      </c>
      <c r="B198" s="380" t="s">
        <v>600</v>
      </c>
      <c r="C198" s="383">
        <v>2.514550394779445</v>
      </c>
      <c r="D198" s="380" t="s">
        <v>243</v>
      </c>
      <c r="E198" s="380" t="s">
        <v>250</v>
      </c>
      <c r="F198" s="383">
        <v>6</v>
      </c>
      <c r="G198" s="383" t="s">
        <v>243</v>
      </c>
      <c r="H198" s="336"/>
      <c r="J198" s="380" t="s">
        <v>601</v>
      </c>
    </row>
    <row r="199" spans="1:10" ht="9.75" customHeight="1">
      <c r="A199" s="380" t="str">
        <f>'12.lan'!D516</f>
        <v>STP São Tomé und Príncipe</v>
      </c>
      <c r="B199" s="380" t="s">
        <v>602</v>
      </c>
      <c r="C199" s="383">
        <v>1.7083189524327189</v>
      </c>
      <c r="D199" s="380" t="s">
        <v>153</v>
      </c>
      <c r="E199" s="380" t="s">
        <v>250</v>
      </c>
      <c r="F199" s="383">
        <v>3.79</v>
      </c>
      <c r="G199" s="383" t="s">
        <v>243</v>
      </c>
      <c r="H199" s="336"/>
      <c r="J199" s="380" t="s">
        <v>603</v>
      </c>
    </row>
    <row r="200" spans="1:10" ht="9.75" customHeight="1">
      <c r="A200" s="380" t="str">
        <f>'12.lan'!D517</f>
        <v>SUR Suriname</v>
      </c>
      <c r="B200" s="380" t="s">
        <v>604</v>
      </c>
      <c r="C200" s="383">
        <v>2.4880258048969957</v>
      </c>
      <c r="D200" s="380" t="s">
        <v>153</v>
      </c>
      <c r="E200" s="380" t="s">
        <v>244</v>
      </c>
      <c r="F200" s="383">
        <v>3.52</v>
      </c>
      <c r="G200" s="383" t="s">
        <v>243</v>
      </c>
      <c r="H200" s="336"/>
      <c r="J200" s="380" t="s">
        <v>605</v>
      </c>
    </row>
    <row r="201" spans="1:10" ht="9.75" customHeight="1">
      <c r="A201" s="380" t="str">
        <f>'12.lan'!D518</f>
        <v>SVK Slowakei</v>
      </c>
      <c r="B201" s="380" t="s">
        <v>606</v>
      </c>
      <c r="C201" s="383">
        <v>1.7351700606912548</v>
      </c>
      <c r="D201" s="380" t="s">
        <v>153</v>
      </c>
      <c r="E201" s="380" t="s">
        <v>253</v>
      </c>
      <c r="F201" s="383">
        <v>1</v>
      </c>
      <c r="G201" s="383"/>
      <c r="H201" s="336"/>
      <c r="J201" s="380" t="s">
        <v>607</v>
      </c>
    </row>
    <row r="202" spans="1:10" ht="9.75" customHeight="1">
      <c r="A202" s="380" t="str">
        <f>'12.lan'!D519</f>
        <v>SVN Slowenien</v>
      </c>
      <c r="B202" s="380" t="s">
        <v>608</v>
      </c>
      <c r="C202" s="383">
        <v>1.4564700167485418</v>
      </c>
      <c r="D202" s="380" t="s">
        <v>153</v>
      </c>
      <c r="E202" s="380" t="s">
        <v>253</v>
      </c>
      <c r="F202" s="383">
        <v>2.5499999999999998</v>
      </c>
      <c r="G202" s="383"/>
      <c r="H202" s="336"/>
      <c r="J202" s="380" t="s">
        <v>609</v>
      </c>
    </row>
    <row r="203" spans="1:10" ht="9.75" customHeight="1">
      <c r="A203" s="380" t="str">
        <f>'12.lan'!D520</f>
        <v>SWE Schweden</v>
      </c>
      <c r="B203" s="380" t="s">
        <v>610</v>
      </c>
      <c r="C203" s="383">
        <v>0.97437249740177201</v>
      </c>
      <c r="D203" s="380" t="s">
        <v>153</v>
      </c>
      <c r="E203" s="380" t="s">
        <v>253</v>
      </c>
      <c r="F203" s="383">
        <v>1</v>
      </c>
      <c r="G203" s="383"/>
      <c r="H203" s="336"/>
      <c r="J203" s="380" t="s">
        <v>611</v>
      </c>
    </row>
    <row r="204" spans="1:10" ht="9.75" customHeight="1">
      <c r="A204" s="380" t="str">
        <f>'12.lan'!D521</f>
        <v>SWZ Swasiland</v>
      </c>
      <c r="B204" s="380" t="s">
        <v>612</v>
      </c>
      <c r="C204" s="383">
        <v>2.5658244458539188</v>
      </c>
      <c r="D204" s="380" t="s">
        <v>153</v>
      </c>
      <c r="E204" s="380" t="s">
        <v>250</v>
      </c>
      <c r="F204" s="383">
        <v>3.79</v>
      </c>
      <c r="G204" s="383" t="s">
        <v>243</v>
      </c>
      <c r="H204" s="336"/>
      <c r="J204" s="380" t="s">
        <v>613</v>
      </c>
    </row>
    <row r="205" spans="1:10" ht="9.75" customHeight="1">
      <c r="A205" s="380" t="str">
        <f>'12.lan'!D522</f>
        <v>SXM Sint Maarten (niederl. Teil)</v>
      </c>
      <c r="B205" s="380" t="s">
        <v>614</v>
      </c>
      <c r="C205" s="383">
        <v>1.0030456687149514</v>
      </c>
      <c r="D205" s="380" t="s">
        <v>243</v>
      </c>
      <c r="E205" s="380" t="s">
        <v>244</v>
      </c>
      <c r="F205" s="383">
        <v>3.52</v>
      </c>
      <c r="G205" s="383" t="s">
        <v>243</v>
      </c>
      <c r="H205" s="336"/>
      <c r="I205" s="382"/>
      <c r="J205" s="380" t="s">
        <v>615</v>
      </c>
    </row>
    <row r="206" spans="1:10" ht="9.75" customHeight="1">
      <c r="A206" s="380" t="str">
        <f>'12.lan'!D523</f>
        <v>SYC Seychellen</v>
      </c>
      <c r="B206" s="380" t="s">
        <v>616</v>
      </c>
      <c r="C206" s="383">
        <v>1.859388830745349</v>
      </c>
      <c r="D206" s="380" t="s">
        <v>153</v>
      </c>
      <c r="E206" s="380" t="s">
        <v>250</v>
      </c>
      <c r="F206" s="383">
        <v>3.79</v>
      </c>
      <c r="G206" s="383" t="s">
        <v>243</v>
      </c>
      <c r="H206" s="336"/>
      <c r="J206" s="380" t="s">
        <v>617</v>
      </c>
    </row>
    <row r="207" spans="1:10" ht="9.75" customHeight="1">
      <c r="A207" s="380" t="str">
        <f>'12.lan'!D524</f>
        <v>SYR Syrien, Arabische Republik</v>
      </c>
      <c r="B207" s="380" t="s">
        <v>618</v>
      </c>
      <c r="C207" s="383">
        <v>2.5752604968031712</v>
      </c>
      <c r="D207" s="380" t="s">
        <v>243</v>
      </c>
      <c r="E207" s="380" t="s">
        <v>247</v>
      </c>
      <c r="F207" s="383">
        <v>4.47</v>
      </c>
      <c r="G207" s="383" t="s">
        <v>243</v>
      </c>
      <c r="H207" s="336"/>
      <c r="J207" s="380" t="s">
        <v>619</v>
      </c>
    </row>
    <row r="208" spans="1:10" ht="9.75" customHeight="1">
      <c r="A208" s="380" t="str">
        <f>'12.lan'!D525</f>
        <v>TCA Turks- und Caicosinseln</v>
      </c>
      <c r="B208" s="380" t="s">
        <v>620</v>
      </c>
      <c r="C208" s="383">
        <v>0.93473290863003466</v>
      </c>
      <c r="D208" s="380" t="s">
        <v>153</v>
      </c>
      <c r="E208" s="380" t="s">
        <v>244</v>
      </c>
      <c r="F208" s="383">
        <v>3.52</v>
      </c>
      <c r="G208" s="383" t="s">
        <v>243</v>
      </c>
      <c r="H208" s="336"/>
      <c r="J208" s="380" t="s">
        <v>621</v>
      </c>
    </row>
    <row r="209" spans="1:10" ht="9.75" customHeight="1">
      <c r="A209" s="380" t="str">
        <f>'12.lan'!D526</f>
        <v>TCD Tschad</v>
      </c>
      <c r="B209" s="380" t="s">
        <v>622</v>
      </c>
      <c r="C209" s="383">
        <v>2.7023773491494341</v>
      </c>
      <c r="D209" s="380" t="s">
        <v>153</v>
      </c>
      <c r="E209" s="380" t="s">
        <v>250</v>
      </c>
      <c r="F209" s="383">
        <v>4</v>
      </c>
      <c r="G209" s="383"/>
      <c r="H209" s="336"/>
      <c r="J209" s="380" t="s">
        <v>623</v>
      </c>
    </row>
    <row r="210" spans="1:10" ht="9.75" customHeight="1">
      <c r="A210" s="380" t="str">
        <f>'12.lan'!D527</f>
        <v>TGO Togo</v>
      </c>
      <c r="B210" s="380" t="s">
        <v>624</v>
      </c>
      <c r="C210" s="383">
        <v>2.611524670890724</v>
      </c>
      <c r="D210" s="380" t="s">
        <v>153</v>
      </c>
      <c r="E210" s="380" t="s">
        <v>250</v>
      </c>
      <c r="F210" s="383">
        <v>2</v>
      </c>
      <c r="G210" s="383" t="s">
        <v>243</v>
      </c>
      <c r="H210" s="336"/>
      <c r="J210" s="380" t="s">
        <v>625</v>
      </c>
    </row>
    <row r="211" spans="1:10" ht="9.75" customHeight="1">
      <c r="A211" s="380" t="str">
        <f>'12.lan'!D528</f>
        <v>THA Thailand</v>
      </c>
      <c r="B211" s="380" t="s">
        <v>626</v>
      </c>
      <c r="C211" s="383">
        <v>2.6192572799169205</v>
      </c>
      <c r="D211" s="380" t="s">
        <v>153</v>
      </c>
      <c r="E211" s="380" t="s">
        <v>247</v>
      </c>
      <c r="F211" s="383">
        <v>5</v>
      </c>
      <c r="G211" s="383"/>
      <c r="H211" s="336"/>
      <c r="J211" s="380" t="s">
        <v>627</v>
      </c>
    </row>
    <row r="212" spans="1:10" ht="9.75" customHeight="1">
      <c r="A212" s="380" t="str">
        <f>'12.lan'!D529</f>
        <v>TJK Tadschikistan</v>
      </c>
      <c r="B212" s="380" t="s">
        <v>628</v>
      </c>
      <c r="C212" s="383">
        <v>4.1733480055151935</v>
      </c>
      <c r="D212" s="380" t="s">
        <v>153</v>
      </c>
      <c r="E212" s="380" t="s">
        <v>247</v>
      </c>
      <c r="F212" s="383">
        <v>4.47</v>
      </c>
      <c r="G212" s="383" t="s">
        <v>243</v>
      </c>
      <c r="H212" s="336"/>
      <c r="J212" s="380" t="s">
        <v>629</v>
      </c>
    </row>
    <row r="213" spans="1:10" ht="9.75" customHeight="1">
      <c r="A213" s="380" t="str">
        <f>'12.lan'!D530</f>
        <v>TKM Turkmenistan</v>
      </c>
      <c r="B213" s="380" t="s">
        <v>630</v>
      </c>
      <c r="C213" s="383">
        <v>2.7709360642603289</v>
      </c>
      <c r="D213" s="380" t="s">
        <v>153</v>
      </c>
      <c r="E213" s="380" t="s">
        <v>247</v>
      </c>
      <c r="F213" s="383">
        <v>4.47</v>
      </c>
      <c r="G213" s="383" t="s">
        <v>243</v>
      </c>
      <c r="H213" s="336"/>
      <c r="J213" s="380" t="s">
        <v>631</v>
      </c>
    </row>
    <row r="214" spans="1:10" ht="9.75" customHeight="1">
      <c r="A214" s="380" t="str">
        <f>'12.lan'!D531</f>
        <v>TLS Osttimor (Timor-Leste)</v>
      </c>
      <c r="B214" s="380" t="s">
        <v>632</v>
      </c>
      <c r="C214" s="383">
        <v>3.7623716154084375</v>
      </c>
      <c r="D214" s="380" t="s">
        <v>153</v>
      </c>
      <c r="E214" s="380" t="s">
        <v>247</v>
      </c>
      <c r="F214" s="383">
        <v>4.47</v>
      </c>
      <c r="G214" s="383" t="s">
        <v>243</v>
      </c>
      <c r="H214" s="336"/>
      <c r="J214" s="380" t="s">
        <v>633</v>
      </c>
    </row>
    <row r="215" spans="1:10" ht="9.75" customHeight="1">
      <c r="A215" s="380" t="str">
        <f>'12.lan'!D532</f>
        <v>TON Tonga</v>
      </c>
      <c r="B215" s="380" t="s">
        <v>634</v>
      </c>
      <c r="C215" s="383">
        <v>1.471021743174715</v>
      </c>
      <c r="D215" s="380" t="s">
        <v>153</v>
      </c>
      <c r="E215" s="380" t="s">
        <v>264</v>
      </c>
      <c r="F215" s="383">
        <v>4.05</v>
      </c>
      <c r="G215" s="383" t="s">
        <v>243</v>
      </c>
      <c r="H215" s="336"/>
      <c r="J215" s="380" t="s">
        <v>635</v>
      </c>
    </row>
    <row r="216" spans="1:10" ht="9.75" customHeight="1">
      <c r="A216" s="380" t="str">
        <f>'12.lan'!D533</f>
        <v>TTO Trinidad und Tobago</v>
      </c>
      <c r="B216" s="380" t="s">
        <v>636</v>
      </c>
      <c r="C216" s="383">
        <v>1.8689401961635488</v>
      </c>
      <c r="D216" s="380" t="s">
        <v>153</v>
      </c>
      <c r="E216" s="380" t="s">
        <v>244</v>
      </c>
      <c r="F216" s="383">
        <v>4</v>
      </c>
      <c r="G216" s="383" t="s">
        <v>243</v>
      </c>
      <c r="H216" s="336"/>
      <c r="J216" s="380" t="s">
        <v>637</v>
      </c>
    </row>
    <row r="217" spans="1:10" ht="9.75" customHeight="1">
      <c r="A217" s="380" t="str">
        <f>'12.lan'!D534</f>
        <v>TUN Tunesien</v>
      </c>
      <c r="B217" s="380" t="s">
        <v>638</v>
      </c>
      <c r="C217" s="383">
        <v>3.6266255266037239</v>
      </c>
      <c r="D217" s="380" t="s">
        <v>153</v>
      </c>
      <c r="E217" s="380" t="s">
        <v>250</v>
      </c>
      <c r="F217" s="383">
        <v>4</v>
      </c>
      <c r="G217" s="383" t="s">
        <v>243</v>
      </c>
      <c r="H217" s="336"/>
      <c r="J217" s="380" t="s">
        <v>639</v>
      </c>
    </row>
    <row r="218" spans="1:10" ht="9.75" customHeight="1">
      <c r="A218" s="380" t="str">
        <f>'12.lan'!D535</f>
        <v>TUR Türkei</v>
      </c>
      <c r="B218" s="380" t="s">
        <v>640</v>
      </c>
      <c r="C218" s="383">
        <v>2.995552952621078</v>
      </c>
      <c r="D218" s="380" t="s">
        <v>153</v>
      </c>
      <c r="E218" s="380" t="s">
        <v>247</v>
      </c>
      <c r="F218" s="383">
        <v>5</v>
      </c>
      <c r="G218" s="383"/>
      <c r="H218" s="336"/>
      <c r="J218" s="380" t="s">
        <v>641</v>
      </c>
    </row>
    <row r="219" spans="1:10" ht="9.75" customHeight="1">
      <c r="A219" s="380" t="str">
        <f>'12.lan'!D536</f>
        <v>TUV Tuvalu</v>
      </c>
      <c r="B219" s="380" t="s">
        <v>642</v>
      </c>
      <c r="C219" s="383">
        <v>1.0942666781987891</v>
      </c>
      <c r="D219" s="380" t="s">
        <v>153</v>
      </c>
      <c r="E219" s="380" t="s">
        <v>264</v>
      </c>
      <c r="F219" s="383">
        <v>4.05</v>
      </c>
      <c r="G219" s="383" t="s">
        <v>243</v>
      </c>
      <c r="H219" s="336"/>
      <c r="J219" s="380" t="s">
        <v>643</v>
      </c>
    </row>
    <row r="220" spans="1:10" ht="9.75" customHeight="1">
      <c r="A220" s="380" t="str">
        <f>'12.lan'!D537</f>
        <v>TZA Tansania, Vereinigte Republik</v>
      </c>
      <c r="B220" s="380" t="s">
        <v>644</v>
      </c>
      <c r="C220" s="383">
        <v>3.0539862236105728</v>
      </c>
      <c r="D220" s="380" t="s">
        <v>153</v>
      </c>
      <c r="E220" s="380" t="s">
        <v>250</v>
      </c>
      <c r="F220" s="383">
        <v>4</v>
      </c>
      <c r="G220" s="383"/>
      <c r="H220" s="336"/>
      <c r="J220" s="380" t="s">
        <v>645</v>
      </c>
    </row>
    <row r="221" spans="1:10" ht="9.75" customHeight="1">
      <c r="A221" s="380" t="str">
        <f>'12.lan'!D538</f>
        <v>UGA Uganda</v>
      </c>
      <c r="B221" s="380" t="s">
        <v>646</v>
      </c>
      <c r="C221" s="383">
        <v>3.1707337112900671</v>
      </c>
      <c r="D221" s="380" t="s">
        <v>153</v>
      </c>
      <c r="E221" s="380" t="s">
        <v>250</v>
      </c>
      <c r="F221" s="383">
        <v>4</v>
      </c>
      <c r="G221" s="383"/>
      <c r="H221" s="336"/>
      <c r="J221" s="380" t="s">
        <v>647</v>
      </c>
    </row>
    <row r="222" spans="1:10" ht="9.75" customHeight="1">
      <c r="A222" s="380" t="str">
        <f>'12.lan'!D539</f>
        <v>UKR Ukraine</v>
      </c>
      <c r="B222" s="380" t="s">
        <v>648</v>
      </c>
      <c r="C222" s="383">
        <v>2.9883500534382654</v>
      </c>
      <c r="D222" s="380" t="s">
        <v>153</v>
      </c>
      <c r="E222" s="380" t="s">
        <v>253</v>
      </c>
      <c r="F222" s="383">
        <v>5</v>
      </c>
      <c r="G222" s="383"/>
      <c r="H222" s="336"/>
      <c r="J222" s="380" t="s">
        <v>649</v>
      </c>
    </row>
    <row r="223" spans="1:10" ht="9.75" customHeight="1">
      <c r="A223" s="380" t="str">
        <f>'12.lan'!D540</f>
        <v>URY Uruguay</v>
      </c>
      <c r="B223" s="380" t="s">
        <v>650</v>
      </c>
      <c r="C223" s="383">
        <v>1.3642909040729942</v>
      </c>
      <c r="D223" s="380" t="s">
        <v>153</v>
      </c>
      <c r="E223" s="380" t="s">
        <v>244</v>
      </c>
      <c r="F223" s="383">
        <v>1</v>
      </c>
      <c r="G223" s="383"/>
      <c r="H223" s="336"/>
      <c r="J223" s="380" t="s">
        <v>651</v>
      </c>
    </row>
    <row r="224" spans="1:10" ht="9.75" customHeight="1">
      <c r="A224" s="380" t="str">
        <f>'12.lan'!D541</f>
        <v>USA Vereinigte Staaten von Amerika</v>
      </c>
      <c r="B224" s="380" t="s">
        <v>652</v>
      </c>
      <c r="C224" s="383">
        <v>1</v>
      </c>
      <c r="D224" s="380" t="s">
        <v>153</v>
      </c>
      <c r="E224" s="380" t="s">
        <v>244</v>
      </c>
      <c r="F224" s="383">
        <v>4</v>
      </c>
      <c r="G224" s="383"/>
      <c r="H224" s="336"/>
      <c r="J224" s="380" t="s">
        <v>653</v>
      </c>
    </row>
    <row r="225" spans="1:10" ht="9.75" customHeight="1">
      <c r="A225" s="380" t="str">
        <f>'12.lan'!D542</f>
        <v>UZB Usbekistan</v>
      </c>
      <c r="B225" s="380" t="s">
        <v>654</v>
      </c>
      <c r="C225" s="383">
        <v>5.5835354058374804</v>
      </c>
      <c r="D225" s="380" t="s">
        <v>153</v>
      </c>
      <c r="E225" s="380" t="s">
        <v>247</v>
      </c>
      <c r="F225" s="383">
        <v>4.47</v>
      </c>
      <c r="G225" s="383" t="s">
        <v>243</v>
      </c>
      <c r="H225" s="336"/>
      <c r="J225" s="380" t="s">
        <v>655</v>
      </c>
    </row>
    <row r="226" spans="1:10" ht="9.75" customHeight="1">
      <c r="A226" s="380" t="str">
        <f>'12.lan'!D543</f>
        <v>VCT St. Vincent und die Grenadinen</v>
      </c>
      <c r="B226" s="380" t="s">
        <v>656</v>
      </c>
      <c r="C226" s="383">
        <v>1.6692441518569066</v>
      </c>
      <c r="D226" s="380" t="s">
        <v>153</v>
      </c>
      <c r="E226" s="380" t="s">
        <v>244</v>
      </c>
      <c r="F226" s="383">
        <v>3.52</v>
      </c>
      <c r="G226" s="383" t="s">
        <v>243</v>
      </c>
      <c r="H226" s="336"/>
      <c r="J226" s="380" t="s">
        <v>657</v>
      </c>
    </row>
    <row r="227" spans="1:10" ht="9.75" customHeight="1">
      <c r="A227" s="380" t="str">
        <f>'12.lan'!D544</f>
        <v>VEN Venezuela</v>
      </c>
      <c r="B227" s="380" t="s">
        <v>658</v>
      </c>
      <c r="C227" s="383">
        <v>1.834346114968979</v>
      </c>
      <c r="D227" s="380" t="s">
        <v>243</v>
      </c>
      <c r="E227" s="380" t="s">
        <v>244</v>
      </c>
      <c r="F227" s="383">
        <v>4</v>
      </c>
      <c r="G227" s="383"/>
      <c r="H227" s="336"/>
      <c r="J227" s="380" t="s">
        <v>659</v>
      </c>
    </row>
    <row r="228" spans="1:10" ht="9.75" customHeight="1">
      <c r="A228" s="380" t="str">
        <f>'12.lan'!D545</f>
        <v>VGB Britische Jungferninseln</v>
      </c>
      <c r="B228" s="380" t="s">
        <v>660</v>
      </c>
      <c r="C228" s="383">
        <v>1.0030456687149514</v>
      </c>
      <c r="D228" s="380" t="s">
        <v>243</v>
      </c>
      <c r="E228" s="380" t="s">
        <v>244</v>
      </c>
      <c r="F228" s="383">
        <v>3.52</v>
      </c>
      <c r="G228" s="383" t="s">
        <v>243</v>
      </c>
      <c r="H228" s="336"/>
      <c r="J228" s="380" t="s">
        <v>661</v>
      </c>
    </row>
    <row r="229" spans="1:10" ht="9.75" customHeight="1">
      <c r="A229" s="380" t="str">
        <f>'12.lan'!D546</f>
        <v>VIR Amerikanische Jungferninseln</v>
      </c>
      <c r="B229" s="380" t="s">
        <v>662</v>
      </c>
      <c r="C229" s="383">
        <v>1.0030456687149514</v>
      </c>
      <c r="D229" s="380" t="s">
        <v>243</v>
      </c>
      <c r="E229" s="380" t="s">
        <v>244</v>
      </c>
      <c r="F229" s="383">
        <v>3.52</v>
      </c>
      <c r="G229" s="383" t="s">
        <v>243</v>
      </c>
      <c r="H229" s="336"/>
      <c r="J229" s="380" t="s">
        <v>663</v>
      </c>
    </row>
    <row r="230" spans="1:10" ht="9.75" customHeight="1">
      <c r="A230" s="380" t="str">
        <f>'12.lan'!D547</f>
        <v>VNM Vietnam</v>
      </c>
      <c r="B230" s="380" t="s">
        <v>664</v>
      </c>
      <c r="C230" s="383">
        <v>2.9018246652453197</v>
      </c>
      <c r="D230" s="380" t="s">
        <v>153</v>
      </c>
      <c r="E230" s="380" t="s">
        <v>247</v>
      </c>
      <c r="F230" s="383">
        <v>5</v>
      </c>
      <c r="G230" s="383" t="s">
        <v>243</v>
      </c>
      <c r="H230" s="336"/>
      <c r="J230" s="380" t="s">
        <v>665</v>
      </c>
    </row>
    <row r="231" spans="1:10" ht="9.75" customHeight="1">
      <c r="A231" s="380" t="str">
        <f>'12.lan'!D548</f>
        <v>VUT Vanuatu</v>
      </c>
      <c r="B231" s="380" t="s">
        <v>666</v>
      </c>
      <c r="C231" s="383">
        <v>1.031133081245736</v>
      </c>
      <c r="D231" s="380" t="s">
        <v>153</v>
      </c>
      <c r="E231" s="380" t="s">
        <v>264</v>
      </c>
      <c r="F231" s="383">
        <v>4.05</v>
      </c>
      <c r="G231" s="383" t="s">
        <v>243</v>
      </c>
      <c r="H231" s="336"/>
      <c r="J231" s="380" t="s">
        <v>667</v>
      </c>
    </row>
    <row r="232" spans="1:10" ht="9.75" customHeight="1">
      <c r="A232" s="380" t="str">
        <f>'12.lan'!D549</f>
        <v>WSM Samoa</v>
      </c>
      <c r="B232" s="380" t="s">
        <v>668</v>
      </c>
      <c r="C232" s="383">
        <v>1.5498211813475968</v>
      </c>
      <c r="D232" s="380" t="s">
        <v>153</v>
      </c>
      <c r="E232" s="380" t="s">
        <v>264</v>
      </c>
      <c r="F232" s="383">
        <v>4.05</v>
      </c>
      <c r="G232" s="383" t="s">
        <v>243</v>
      </c>
      <c r="H232" s="336"/>
      <c r="J232" s="380" t="s">
        <v>669</v>
      </c>
    </row>
    <row r="233" spans="1:10" ht="9.75" customHeight="1">
      <c r="A233" s="380" t="str">
        <f>'12.lan'!D550</f>
        <v>XKX Kosovo</v>
      </c>
      <c r="B233" s="380" t="s">
        <v>670</v>
      </c>
      <c r="C233" s="383">
        <v>2.6377578230191174</v>
      </c>
      <c r="D233" s="380" t="s">
        <v>153</v>
      </c>
      <c r="E233" s="380" t="s">
        <v>253</v>
      </c>
      <c r="F233" s="383">
        <v>2.5499999999999998</v>
      </c>
      <c r="G233" s="383" t="s">
        <v>243</v>
      </c>
      <c r="H233" s="336"/>
      <c r="J233" s="380" t="s">
        <v>671</v>
      </c>
    </row>
    <row r="234" spans="1:10" ht="9.75" customHeight="1">
      <c r="A234" s="380" t="str">
        <f>'12.lan'!D551</f>
        <v>YEM Jemen</v>
      </c>
      <c r="B234" s="380" t="s">
        <v>672</v>
      </c>
      <c r="C234" s="383">
        <v>2.7267081851276931</v>
      </c>
      <c r="D234" s="380" t="s">
        <v>153</v>
      </c>
      <c r="E234" s="380" t="s">
        <v>247</v>
      </c>
      <c r="F234" s="383">
        <v>6</v>
      </c>
      <c r="G234" s="383" t="s">
        <v>243</v>
      </c>
      <c r="H234" s="336"/>
      <c r="J234" s="380" t="s">
        <v>673</v>
      </c>
    </row>
    <row r="235" spans="1:10" ht="9.75" customHeight="1">
      <c r="A235" s="380" t="str">
        <f>'12.lan'!D552</f>
        <v>ZAF Südafrika</v>
      </c>
      <c r="B235" s="380" t="s">
        <v>674</v>
      </c>
      <c r="C235" s="383">
        <v>2.1472892715506822</v>
      </c>
      <c r="D235" s="380" t="s">
        <v>153</v>
      </c>
      <c r="E235" s="380" t="s">
        <v>250</v>
      </c>
      <c r="F235" s="383">
        <v>2</v>
      </c>
      <c r="G235" s="383"/>
      <c r="H235" s="336"/>
      <c r="I235" s="382"/>
      <c r="J235" s="380" t="s">
        <v>675</v>
      </c>
    </row>
    <row r="236" spans="1:10" ht="9.75" customHeight="1">
      <c r="A236" s="380" t="str">
        <f>'12.lan'!D553</f>
        <v>ZMB Sambia</v>
      </c>
      <c r="B236" s="380" t="s">
        <v>676</v>
      </c>
      <c r="C236" s="383">
        <v>2.742974545665072</v>
      </c>
      <c r="D236" s="380" t="s">
        <v>153</v>
      </c>
      <c r="E236" s="380" t="s">
        <v>250</v>
      </c>
      <c r="F236" s="383">
        <v>4</v>
      </c>
      <c r="G236" s="383"/>
      <c r="H236" s="336"/>
      <c r="J236" s="380" t="s">
        <v>677</v>
      </c>
    </row>
    <row r="237" spans="1:10" ht="9.75" customHeight="1">
      <c r="A237" s="380" t="str">
        <f>'12.lan'!D554</f>
        <v>ZWE Simbabwe</v>
      </c>
      <c r="B237" s="380" t="s">
        <v>678</v>
      </c>
      <c r="C237" s="383">
        <v>1.411177506781591</v>
      </c>
      <c r="D237" s="380" t="s">
        <v>153</v>
      </c>
      <c r="E237" s="380" t="s">
        <v>250</v>
      </c>
      <c r="F237" s="383">
        <v>5</v>
      </c>
      <c r="G237" s="383"/>
      <c r="H237" s="336"/>
      <c r="J237" s="380" t="s">
        <v>679</v>
      </c>
    </row>
    <row r="238" spans="1:10" ht="9.75" customHeight="1">
      <c r="A238" s="380" t="str">
        <f>'12.lan'!D555</f>
        <v>Durchschnitt Afrika</v>
      </c>
      <c r="B238" s="380" t="s">
        <v>250</v>
      </c>
      <c r="C238" s="386">
        <v>2.514550394779445</v>
      </c>
      <c r="D238" s="386"/>
      <c r="E238" s="380"/>
      <c r="F238" s="386">
        <v>3.79</v>
      </c>
      <c r="G238" s="380"/>
      <c r="H238" s="336"/>
      <c r="J238" s="380" t="s">
        <v>680</v>
      </c>
    </row>
    <row r="239" spans="1:10" ht="9.75" customHeight="1">
      <c r="A239" s="380" t="str">
        <f>'12.lan'!D556</f>
        <v>Durchschnitt Amerika</v>
      </c>
      <c r="B239" s="380" t="s">
        <v>244</v>
      </c>
      <c r="C239" s="386">
        <v>1.174862337774593</v>
      </c>
      <c r="D239" s="386"/>
      <c r="E239" s="380"/>
      <c r="F239" s="383">
        <v>3.52</v>
      </c>
      <c r="G239" s="380"/>
      <c r="H239" s="336"/>
      <c r="J239" s="380" t="s">
        <v>681</v>
      </c>
    </row>
    <row r="240" spans="1:10" ht="9.75" customHeight="1">
      <c r="A240" s="380" t="str">
        <f>'12.lan'!D557</f>
        <v>Durchschnitt Asien</v>
      </c>
      <c r="B240" s="387" t="s">
        <v>247</v>
      </c>
      <c r="C240" s="386">
        <v>2.5752604968031712</v>
      </c>
      <c r="D240" s="387"/>
      <c r="E240" s="380"/>
      <c r="F240" s="386">
        <v>4.47</v>
      </c>
      <c r="G240" s="380"/>
      <c r="H240" s="336"/>
      <c r="J240" s="380" t="s">
        <v>682</v>
      </c>
    </row>
    <row r="241" spans="1:10" ht="9.75" customHeight="1">
      <c r="A241" s="380" t="str">
        <f>'12.lan'!D558</f>
        <v>Durchschnitt Europa</v>
      </c>
      <c r="B241" s="380" t="s">
        <v>253</v>
      </c>
      <c r="C241" s="386">
        <v>1.0331402674066741</v>
      </c>
      <c r="D241" s="386"/>
      <c r="E241" s="380"/>
      <c r="F241" s="386">
        <v>2.5499999999999998</v>
      </c>
      <c r="G241" s="380"/>
      <c r="H241" s="336"/>
      <c r="J241" s="380" t="s">
        <v>683</v>
      </c>
    </row>
    <row r="242" spans="1:10" ht="9.75" customHeight="1">
      <c r="A242" s="380" t="str">
        <f>'12.lan'!D559</f>
        <v>Durchschnitt Ozeanien</v>
      </c>
      <c r="B242" s="387" t="s">
        <v>264</v>
      </c>
      <c r="C242" s="386">
        <v>1.4985868712925843</v>
      </c>
      <c r="D242" s="386"/>
      <c r="E242" s="380"/>
      <c r="F242" s="386">
        <v>4.05</v>
      </c>
      <c r="G242" s="380"/>
      <c r="H242" s="336"/>
      <c r="J242" s="380" t="s">
        <v>684</v>
      </c>
    </row>
    <row r="243" spans="1:10" ht="9.75" customHeight="1">
      <c r="A243" s="380" t="str">
        <f>'12.lan'!D560</f>
        <v>Durchschnitt Welt</v>
      </c>
      <c r="B243" s="335"/>
      <c r="C243" s="335">
        <v>1.0030456687149514</v>
      </c>
      <c r="D243" s="335"/>
      <c r="E243" s="388"/>
      <c r="F243" s="388">
        <v>3.2380952380952381</v>
      </c>
      <c r="G243" s="389"/>
      <c r="H243" s="336"/>
      <c r="J243" s="335" t="s">
        <v>685</v>
      </c>
    </row>
    <row r="244" spans="1:10" ht="9.75" customHeight="1">
      <c r="B244" s="335"/>
      <c r="C244" s="335">
        <v>1.834346114968979</v>
      </c>
      <c r="D244" s="335"/>
      <c r="E244" s="388"/>
      <c r="F244" s="388"/>
      <c r="G244" s="389"/>
      <c r="H244" s="336"/>
    </row>
    <row r="245" spans="1:10" ht="9.75" customHeight="1">
      <c r="B245" s="335"/>
      <c r="C245" s="382">
        <v>3.7231875078645835</v>
      </c>
      <c r="D245" s="382"/>
      <c r="E245" s="390"/>
      <c r="F245" s="390"/>
      <c r="G245" s="391"/>
      <c r="H245" s="381"/>
      <c r="I245" s="382"/>
    </row>
    <row r="246" spans="1:10" ht="9.75" customHeight="1">
      <c r="B246" s="335"/>
      <c r="C246" s="335"/>
      <c r="D246" s="335"/>
      <c r="E246" s="388"/>
      <c r="F246" s="388"/>
      <c r="G246" s="389"/>
      <c r="H246" s="336"/>
    </row>
    <row r="247" spans="1:10" ht="9.75" customHeight="1">
      <c r="B247" s="335"/>
      <c r="C247" s="335"/>
      <c r="D247" s="335"/>
      <c r="E247" s="388"/>
      <c r="F247" s="388"/>
      <c r="G247" s="389"/>
      <c r="H247" s="336"/>
    </row>
    <row r="248" spans="1:10" ht="9.75" customHeight="1">
      <c r="B248" s="335"/>
      <c r="C248" s="335"/>
      <c r="D248" s="335"/>
      <c r="E248" s="388"/>
      <c r="F248" s="388"/>
      <c r="G248" s="389"/>
      <c r="H248" s="336"/>
    </row>
    <row r="249" spans="1:10" ht="9.75" customHeight="1">
      <c r="B249" s="335"/>
      <c r="C249" s="335"/>
      <c r="D249" s="335"/>
      <c r="E249" s="388"/>
      <c r="F249" s="388"/>
      <c r="G249" s="389"/>
      <c r="H249" s="336"/>
    </row>
    <row r="250" spans="1:10" ht="9.75" customHeight="1">
      <c r="B250" s="335"/>
      <c r="C250" s="335"/>
      <c r="D250" s="335"/>
      <c r="E250" s="388"/>
      <c r="F250" s="388"/>
      <c r="G250" s="389"/>
      <c r="H250" s="336"/>
    </row>
    <row r="251" spans="1:10" ht="9.75" customHeight="1">
      <c r="B251" s="335"/>
      <c r="C251" s="335"/>
      <c r="D251" s="335"/>
      <c r="E251" s="388"/>
      <c r="F251" s="388"/>
      <c r="G251" s="389"/>
      <c r="H251" s="336"/>
    </row>
    <row r="252" spans="1:10" ht="9.75" customHeight="1">
      <c r="B252" s="335"/>
      <c r="C252" s="335"/>
      <c r="D252" s="335"/>
      <c r="E252" s="388"/>
      <c r="F252" s="388"/>
      <c r="G252" s="389"/>
      <c r="H252" s="336"/>
    </row>
    <row r="253" spans="1:10" ht="9.75" customHeight="1">
      <c r="B253" s="335"/>
      <c r="C253" s="335"/>
      <c r="D253" s="335"/>
      <c r="E253" s="388"/>
      <c r="F253" s="388"/>
      <c r="G253" s="389"/>
      <c r="H253" s="336"/>
    </row>
    <row r="254" spans="1:10" ht="9.75" customHeight="1">
      <c r="B254" s="335"/>
      <c r="C254" s="335"/>
      <c r="D254" s="335"/>
      <c r="E254" s="388"/>
      <c r="F254" s="388"/>
      <c r="G254" s="389"/>
      <c r="H254" s="336"/>
    </row>
    <row r="255" spans="1:10" ht="9.75" customHeight="1">
      <c r="B255" s="335"/>
      <c r="C255" s="335"/>
      <c r="D255" s="335"/>
      <c r="E255" s="388"/>
      <c r="F255" s="388"/>
      <c r="G255" s="389"/>
      <c r="H255" s="336"/>
    </row>
    <row r="256" spans="1:10" ht="9.75" customHeight="1">
      <c r="B256" s="335"/>
      <c r="C256" s="335"/>
      <c r="D256" s="335"/>
      <c r="E256" s="388"/>
      <c r="F256" s="388"/>
      <c r="G256" s="389"/>
      <c r="H256" s="336"/>
    </row>
    <row r="257" spans="5:8" s="335" customFormat="1" ht="9.75" customHeight="1">
      <c r="E257" s="388"/>
      <c r="F257" s="388"/>
      <c r="G257" s="389"/>
      <c r="H257" s="336"/>
    </row>
    <row r="258" spans="5:8" s="335" customFormat="1" ht="9.75" customHeight="1">
      <c r="E258" s="388"/>
      <c r="F258" s="388"/>
      <c r="G258" s="389"/>
      <c r="H258" s="336"/>
    </row>
    <row r="259" spans="5:8" s="335" customFormat="1" ht="9.75" customHeight="1">
      <c r="E259" s="388"/>
      <c r="F259" s="388"/>
      <c r="G259" s="389"/>
      <c r="H259" s="336"/>
    </row>
    <row r="260" spans="5:8" s="335" customFormat="1" ht="9.75" customHeight="1">
      <c r="E260" s="388"/>
      <c r="F260" s="388"/>
      <c r="G260" s="389"/>
      <c r="H260" s="336"/>
    </row>
    <row r="261" spans="5:8" s="335" customFormat="1" ht="9.75" customHeight="1">
      <c r="E261" s="388"/>
      <c r="F261" s="388"/>
      <c r="G261" s="389"/>
      <c r="H261" s="336"/>
    </row>
    <row r="262" spans="5:8" s="335" customFormat="1" ht="9.75" customHeight="1">
      <c r="E262" s="388"/>
      <c r="F262" s="388"/>
      <c r="G262" s="389"/>
      <c r="H262" s="336"/>
    </row>
    <row r="263" spans="5:8" s="335" customFormat="1" ht="9.75" customHeight="1">
      <c r="E263" s="388"/>
      <c r="F263" s="388"/>
      <c r="G263" s="389"/>
      <c r="H263" s="336"/>
    </row>
    <row r="264" spans="5:8" s="335" customFormat="1" ht="9.75" customHeight="1">
      <c r="E264" s="388"/>
      <c r="F264" s="388"/>
      <c r="G264" s="389"/>
      <c r="H264" s="336"/>
    </row>
    <row r="265" spans="5:8" s="335" customFormat="1" ht="9.75" customHeight="1">
      <c r="E265" s="388"/>
      <c r="F265" s="388"/>
      <c r="G265" s="389"/>
      <c r="H265" s="336"/>
    </row>
    <row r="266" spans="5:8" s="335" customFormat="1" ht="9.75" customHeight="1">
      <c r="E266" s="388"/>
      <c r="F266" s="388"/>
      <c r="G266" s="389"/>
      <c r="H266" s="336"/>
    </row>
    <row r="267" spans="5:8" s="335" customFormat="1" ht="9.75" customHeight="1">
      <c r="E267" s="388"/>
      <c r="F267" s="388"/>
      <c r="G267" s="389"/>
      <c r="H267" s="336"/>
    </row>
    <row r="268" spans="5:8" s="335" customFormat="1" ht="9.75" customHeight="1">
      <c r="E268" s="388"/>
      <c r="F268" s="388"/>
      <c r="G268" s="389"/>
      <c r="H268" s="336"/>
    </row>
    <row r="269" spans="5:8" s="335" customFormat="1" ht="9.75" customHeight="1">
      <c r="E269" s="388"/>
      <c r="F269" s="388"/>
      <c r="G269" s="389"/>
      <c r="H269" s="336"/>
    </row>
    <row r="270" spans="5:8" s="335" customFormat="1" ht="9.75" customHeight="1">
      <c r="E270" s="388"/>
      <c r="F270" s="388"/>
      <c r="G270" s="389"/>
      <c r="H270" s="336"/>
    </row>
    <row r="271" spans="5:8" s="335" customFormat="1" ht="9.75" customHeight="1">
      <c r="E271" s="388"/>
      <c r="F271" s="388"/>
      <c r="G271" s="389"/>
      <c r="H271" s="336"/>
    </row>
    <row r="272" spans="5:8" s="335" customFormat="1" ht="9.75" customHeight="1">
      <c r="E272" s="388"/>
      <c r="F272" s="388"/>
      <c r="G272" s="389"/>
      <c r="H272" s="336"/>
    </row>
    <row r="273" spans="2:9" ht="9.75" customHeight="1">
      <c r="B273" s="335"/>
      <c r="C273" s="335"/>
      <c r="D273" s="335"/>
      <c r="E273" s="388"/>
      <c r="F273" s="388"/>
      <c r="G273" s="389"/>
      <c r="H273" s="336"/>
    </row>
    <row r="274" spans="2:9" ht="9.75" customHeight="1">
      <c r="B274" s="335"/>
      <c r="C274" s="335"/>
      <c r="D274" s="335"/>
      <c r="E274" s="388"/>
      <c r="F274" s="388"/>
      <c r="G274" s="389"/>
      <c r="H274" s="336"/>
    </row>
    <row r="275" spans="2:9" ht="9.75" customHeight="1">
      <c r="B275" s="335"/>
      <c r="C275" s="335"/>
      <c r="D275" s="335"/>
      <c r="E275" s="388"/>
      <c r="F275" s="388"/>
      <c r="G275" s="389"/>
      <c r="H275" s="336"/>
    </row>
    <row r="276" spans="2:9" ht="9.75" customHeight="1">
      <c r="B276" s="335"/>
      <c r="C276" s="335"/>
      <c r="D276" s="335"/>
      <c r="E276" s="388"/>
      <c r="F276" s="388"/>
      <c r="G276" s="389"/>
      <c r="H276" s="336"/>
    </row>
    <row r="277" spans="2:9" ht="9.75" customHeight="1">
      <c r="B277" s="382"/>
      <c r="C277" s="382"/>
      <c r="D277" s="382"/>
      <c r="E277" s="390"/>
      <c r="F277" s="390"/>
      <c r="G277" s="391"/>
      <c r="H277" s="381"/>
      <c r="I277" s="382"/>
    </row>
    <row r="278" spans="2:9" ht="9.75" customHeight="1">
      <c r="B278" s="335"/>
      <c r="C278" s="335"/>
      <c r="D278" s="335"/>
      <c r="E278" s="388"/>
      <c r="F278" s="388"/>
      <c r="G278" s="389"/>
      <c r="H278" s="336"/>
      <c r="I278" s="384"/>
    </row>
    <row r="279" spans="2:9" ht="9.75" customHeight="1">
      <c r="B279" s="335"/>
      <c r="C279" s="335"/>
      <c r="D279" s="335"/>
      <c r="E279" s="388"/>
      <c r="F279" s="388"/>
      <c r="G279" s="389"/>
      <c r="H279" s="336"/>
    </row>
    <row r="280" spans="2:9" ht="9.75" customHeight="1">
      <c r="B280" s="335"/>
      <c r="C280" s="335"/>
      <c r="D280" s="335"/>
      <c r="E280" s="388"/>
      <c r="F280" s="388"/>
      <c r="G280" s="389"/>
      <c r="H280" s="336"/>
    </row>
    <row r="281" spans="2:9" ht="9.75" customHeight="1">
      <c r="B281" s="335"/>
      <c r="C281" s="335"/>
      <c r="D281" s="335"/>
      <c r="E281" s="388"/>
      <c r="F281" s="388"/>
      <c r="G281" s="389"/>
      <c r="H281" s="336"/>
    </row>
    <row r="282" spans="2:9" ht="9.75" customHeight="1">
      <c r="B282" s="335"/>
      <c r="C282" s="335"/>
      <c r="D282" s="335"/>
      <c r="E282" s="388"/>
      <c r="F282" s="388"/>
      <c r="G282" s="389"/>
      <c r="H282" s="336"/>
    </row>
    <row r="283" spans="2:9" ht="9.75" customHeight="1">
      <c r="B283" s="335"/>
      <c r="C283" s="335"/>
      <c r="D283" s="335"/>
      <c r="E283" s="388"/>
      <c r="F283" s="388"/>
      <c r="G283" s="389"/>
      <c r="H283" s="336"/>
    </row>
    <row r="284" spans="2:9" ht="9.75" customHeight="1">
      <c r="B284" s="335"/>
      <c r="C284" s="335"/>
      <c r="D284" s="335"/>
      <c r="E284" s="388"/>
      <c r="F284" s="388"/>
      <c r="G284" s="389"/>
      <c r="H284" s="336"/>
    </row>
    <row r="285" spans="2:9" ht="9.75" customHeight="1">
      <c r="B285" s="335"/>
      <c r="C285" s="335"/>
      <c r="D285" s="335"/>
      <c r="E285" s="388"/>
      <c r="F285" s="388"/>
      <c r="G285" s="389"/>
      <c r="H285" s="336"/>
    </row>
    <row r="286" spans="2:9" ht="9.75" customHeight="1">
      <c r="B286" s="335"/>
      <c r="C286" s="335"/>
      <c r="D286" s="335"/>
      <c r="E286" s="388"/>
      <c r="F286" s="388"/>
      <c r="G286" s="389"/>
      <c r="H286" s="336"/>
    </row>
    <row r="287" spans="2:9" ht="9.75" customHeight="1">
      <c r="B287" s="335"/>
      <c r="C287" s="335"/>
      <c r="D287" s="335"/>
      <c r="E287" s="388"/>
      <c r="F287" s="388"/>
      <c r="G287" s="389"/>
      <c r="H287" s="336"/>
    </row>
    <row r="288" spans="2:9" ht="9.75" customHeight="1">
      <c r="B288" s="335"/>
      <c r="C288" s="335"/>
      <c r="D288" s="335"/>
      <c r="E288" s="388"/>
      <c r="F288" s="388"/>
      <c r="G288" s="389"/>
      <c r="H288" s="336"/>
    </row>
    <row r="289" spans="5:8" s="335" customFormat="1" ht="9.75" customHeight="1">
      <c r="E289" s="388"/>
      <c r="F289" s="388"/>
      <c r="G289" s="389"/>
      <c r="H289" s="336"/>
    </row>
    <row r="290" spans="5:8" s="335" customFormat="1" ht="9.75" customHeight="1">
      <c r="E290" s="388"/>
      <c r="F290" s="388"/>
      <c r="G290" s="389"/>
      <c r="H290" s="336"/>
    </row>
    <row r="291" spans="5:8" s="335" customFormat="1" ht="9.75" customHeight="1">
      <c r="E291" s="388"/>
      <c r="F291" s="388"/>
      <c r="G291" s="389"/>
      <c r="H291" s="336"/>
    </row>
    <row r="292" spans="5:8" s="335" customFormat="1" ht="9.75" customHeight="1">
      <c r="E292" s="388"/>
      <c r="F292" s="388"/>
      <c r="G292" s="389"/>
      <c r="H292" s="336"/>
    </row>
    <row r="293" spans="5:8" s="335" customFormat="1" ht="9.75" customHeight="1">
      <c r="E293" s="392"/>
      <c r="F293" s="392"/>
      <c r="G293" s="393"/>
      <c r="H293" s="336"/>
    </row>
  </sheetData>
  <sheetProtection algorithmName="SHA-512" hashValue="kJ2lV2bXy70oFBvyvWWqEY/sjdwb/TJ8WXXpTzhi0Zsn7+0DwtFVe7j4seyvMKfv/qjaWuhr2kyJRDbAZMrnhA==" saltValue="CAsgPIgWoqfaLVO5UKTkRQ==" spinCount="100000" sheet="1" objects="1" scenarios="1"/>
  <mergeCells count="6">
    <mergeCell ref="A1:G1"/>
    <mergeCell ref="L2:N2"/>
    <mergeCell ref="O2:Q2"/>
    <mergeCell ref="B3:B8"/>
    <mergeCell ref="G3:G8"/>
    <mergeCell ref="J8:M8"/>
  </mergeCells>
  <hyperlinks>
    <hyperlink ref="E19" r:id="rId1" xr:uid="{00000000-0004-0000-0C00-000000000000}"/>
  </hyperlinks>
  <pageMargins left="0.7" right="0.7" top="0.75" bottom="0.75"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K65536"/>
  <sheetViews>
    <sheetView zoomScale="75" zoomScaleNormal="75" workbookViewId="0">
      <pane ySplit="5220"/>
      <selection pane="bottomLeft" activeCell="G213" sqref="G213"/>
    </sheetView>
  </sheetViews>
  <sheetFormatPr baseColWidth="10" defaultColWidth="10.33203125" defaultRowHeight="14" customHeight="1"/>
  <cols>
    <col min="1" max="1" width="10.33203125" style="405" customWidth="1"/>
    <col min="2" max="2" width="27.33203125" style="405" customWidth="1"/>
    <col min="3" max="3" width="10.33203125" style="405" customWidth="1"/>
    <col min="4" max="4" width="56.6640625" style="405" customWidth="1"/>
    <col min="5" max="5" width="43" style="405" customWidth="1"/>
    <col min="6" max="6" width="43" style="408" customWidth="1"/>
    <col min="7" max="9" width="43" style="405" customWidth="1"/>
    <col min="10" max="10" width="10.33203125" style="405" customWidth="1"/>
    <col min="11" max="11" width="10.33203125" style="409" customWidth="1"/>
    <col min="12" max="16384" width="10.33203125" style="405"/>
  </cols>
  <sheetData>
    <row r="1" spans="1:9" ht="20" customHeight="1">
      <c r="C1" s="406">
        <f>VLOOKUP('0. Intro'!B1,'12.lan'!B2:C12,2,FALSE)</f>
        <v>1</v>
      </c>
      <c r="D1" s="407">
        <f t="shared" ref="D1:D37" si="0">HLOOKUP($C$1,$E$1:$V$4910,ROW(D1))</f>
        <v>1</v>
      </c>
      <c r="E1" s="405">
        <v>1</v>
      </c>
      <c r="F1" s="408">
        <v>2</v>
      </c>
      <c r="G1" s="405">
        <v>3</v>
      </c>
      <c r="H1" s="405">
        <v>4</v>
      </c>
      <c r="I1" s="405">
        <v>5</v>
      </c>
    </row>
    <row r="2" spans="1:9" ht="14" customHeight="1">
      <c r="A2" s="405">
        <v>3</v>
      </c>
      <c r="B2" s="405" t="s">
        <v>3030</v>
      </c>
      <c r="C2" s="405">
        <f>A2</f>
        <v>3</v>
      </c>
      <c r="D2" s="407" t="str">
        <f t="shared" si="0"/>
        <v>Deutsch</v>
      </c>
      <c r="E2" s="410" t="s">
        <v>686</v>
      </c>
      <c r="F2" s="410" t="s">
        <v>687</v>
      </c>
      <c r="G2" s="411" t="s">
        <v>688</v>
      </c>
      <c r="H2" s="412" t="s">
        <v>689</v>
      </c>
      <c r="I2" s="410" t="s">
        <v>690</v>
      </c>
    </row>
    <row r="3" spans="1:9" ht="14" customHeight="1">
      <c r="A3" s="405">
        <v>1</v>
      </c>
      <c r="B3" s="408" t="s">
        <v>686</v>
      </c>
      <c r="C3" s="405">
        <f>A3</f>
        <v>1</v>
      </c>
      <c r="D3" s="407">
        <f t="shared" si="0"/>
        <v>0</v>
      </c>
      <c r="E3" s="408"/>
      <c r="G3" s="413"/>
      <c r="H3" s="408"/>
      <c r="I3" s="408"/>
    </row>
    <row r="4" spans="1:9" ht="15.75" customHeight="1">
      <c r="A4" s="405">
        <v>2</v>
      </c>
      <c r="B4" s="408" t="s">
        <v>687</v>
      </c>
      <c r="C4" s="405">
        <f t="shared" ref="C4:C12" si="1">A4</f>
        <v>2</v>
      </c>
      <c r="D4" s="407" t="str">
        <f t="shared" si="0"/>
        <v>GEMEINWOHL-RECHNER</v>
      </c>
      <c r="E4" s="408" t="s">
        <v>691</v>
      </c>
      <c r="F4" s="414" t="s">
        <v>692</v>
      </c>
      <c r="G4" s="413" t="s">
        <v>693</v>
      </c>
      <c r="H4" s="408" t="s">
        <v>694</v>
      </c>
      <c r="I4" s="408" t="s">
        <v>3065</v>
      </c>
    </row>
    <row r="5" spans="1:9" ht="15.75" customHeight="1">
      <c r="A5" s="405">
        <v>3</v>
      </c>
      <c r="B5" s="408" t="s">
        <v>688</v>
      </c>
      <c r="C5" s="405">
        <f t="shared" si="1"/>
        <v>3</v>
      </c>
      <c r="D5" s="407" t="str">
        <f t="shared" si="0"/>
        <v>© GWÖ</v>
      </c>
      <c r="E5" s="408" t="s">
        <v>695</v>
      </c>
      <c r="F5" s="414" t="s">
        <v>696</v>
      </c>
      <c r="G5" s="413" t="s">
        <v>697</v>
      </c>
      <c r="H5" s="408" t="s">
        <v>698</v>
      </c>
      <c r="I5" s="408" t="s">
        <v>3066</v>
      </c>
    </row>
    <row r="6" spans="1:9" ht="15.75" customHeight="1">
      <c r="A6" s="405">
        <v>4</v>
      </c>
      <c r="B6" s="412" t="s">
        <v>689</v>
      </c>
      <c r="C6" s="405">
        <f t="shared" si="1"/>
        <v>4</v>
      </c>
      <c r="D6" s="407" t="str">
        <f t="shared" si="0"/>
        <v>Version</v>
      </c>
      <c r="E6" s="415" t="s">
        <v>699</v>
      </c>
      <c r="F6" s="415" t="s">
        <v>700</v>
      </c>
      <c r="G6" s="416" t="s">
        <v>699</v>
      </c>
      <c r="H6" s="408" t="s">
        <v>701</v>
      </c>
      <c r="I6" s="408" t="s">
        <v>699</v>
      </c>
    </row>
    <row r="7" spans="1:9" ht="15.75" customHeight="1">
      <c r="A7" s="405">
        <v>5</v>
      </c>
      <c r="B7" s="408" t="s">
        <v>690</v>
      </c>
      <c r="C7" s="405">
        <f t="shared" si="1"/>
        <v>5</v>
      </c>
      <c r="D7" s="407" t="str">
        <f t="shared" si="0"/>
        <v>HERZLICH WILLKOMMEN!</v>
      </c>
      <c r="E7" s="414" t="s">
        <v>702</v>
      </c>
      <c r="F7" s="414" t="s">
        <v>703</v>
      </c>
      <c r="G7" s="417" t="s">
        <v>704</v>
      </c>
      <c r="H7" s="408" t="s">
        <v>705</v>
      </c>
      <c r="I7" s="408" t="s">
        <v>3067</v>
      </c>
    </row>
    <row r="8" spans="1:9" ht="81.5" customHeight="1">
      <c r="A8" s="405">
        <v>6</v>
      </c>
      <c r="B8" s="408"/>
      <c r="C8" s="405">
        <f t="shared" si="1"/>
        <v>6</v>
      </c>
      <c r="D8" s="407" t="str">
        <f t="shared" si="0"/>
        <v>Dieses Tool dient zur Berechnung der Gemeinwohl-Punkte Ihres Unternehmens. Es ist eine Ergänzung zum Gemeinwohlbericht und muss gemeinsam mit diesem genutzt werden.  Wir wünschen gutes Gelingen!</v>
      </c>
      <c r="E8" s="408" t="s">
        <v>706</v>
      </c>
      <c r="F8" s="408" t="s">
        <v>707</v>
      </c>
      <c r="G8" s="418" t="s">
        <v>708</v>
      </c>
      <c r="H8" s="408" t="s">
        <v>709</v>
      </c>
      <c r="I8" s="408" t="s">
        <v>3344</v>
      </c>
    </row>
    <row r="9" spans="1:9" ht="28.5" customHeight="1">
      <c r="A9" s="405">
        <v>7</v>
      </c>
      <c r="B9" s="408"/>
      <c r="C9" s="405">
        <f t="shared" si="1"/>
        <v>7</v>
      </c>
      <c r="D9" s="407" t="str">
        <f t="shared" si="0"/>
        <v>WIE SIE DEN BILANZ-RECHNER RICHTIG VERWENDEN:</v>
      </c>
      <c r="E9" s="408" t="s">
        <v>710</v>
      </c>
      <c r="F9" s="408" t="s">
        <v>711</v>
      </c>
      <c r="G9" s="413" t="s">
        <v>712</v>
      </c>
      <c r="H9" s="408" t="s">
        <v>713</v>
      </c>
      <c r="I9" s="408" t="s">
        <v>3068</v>
      </c>
    </row>
    <row r="10" spans="1:9" ht="15.75" customHeight="1">
      <c r="A10" s="405">
        <v>8</v>
      </c>
      <c r="B10" s="408"/>
      <c r="C10" s="405">
        <f t="shared" si="1"/>
        <v>8</v>
      </c>
      <c r="D10" s="407" t="str">
        <f t="shared" si="0"/>
        <v>1. Allgemeines</v>
      </c>
      <c r="E10" s="408" t="s">
        <v>714</v>
      </c>
      <c r="F10" s="414" t="s">
        <v>715</v>
      </c>
      <c r="G10" s="413" t="s">
        <v>716</v>
      </c>
      <c r="H10" s="408" t="s">
        <v>716</v>
      </c>
      <c r="I10" s="408" t="s">
        <v>3069</v>
      </c>
    </row>
    <row r="11" spans="1:9" ht="28.5" customHeight="1">
      <c r="A11" s="405">
        <v>9</v>
      </c>
      <c r="B11" s="408"/>
      <c r="C11" s="405">
        <f t="shared" si="1"/>
        <v>9</v>
      </c>
      <c r="D11" s="407" t="str">
        <f t="shared" si="0"/>
        <v>Hier können Sie allgemeinen Angaben zu Ihrem Unternehmen machen.</v>
      </c>
      <c r="E11" s="408" t="s">
        <v>717</v>
      </c>
      <c r="F11" s="408" t="s">
        <v>718</v>
      </c>
      <c r="G11" s="413" t="s">
        <v>719</v>
      </c>
      <c r="H11" s="408" t="s">
        <v>720</v>
      </c>
      <c r="I11" s="408" t="s">
        <v>3070</v>
      </c>
    </row>
    <row r="12" spans="1:9" ht="41.75" customHeight="1">
      <c r="A12" s="405">
        <v>10</v>
      </c>
      <c r="B12" s="408"/>
      <c r="C12" s="405">
        <f t="shared" si="1"/>
        <v>10</v>
      </c>
      <c r="D12" s="407" t="str">
        <f t="shared" si="0"/>
        <v xml:space="preserve">Hier müssen alle geforderten Kenngrößen eingetragen werden, da diese für die Gewichtung der Themen essentiell sind. </v>
      </c>
      <c r="E12" s="408" t="s">
        <v>721</v>
      </c>
      <c r="F12" s="408" t="s">
        <v>722</v>
      </c>
      <c r="G12" s="413" t="s">
        <v>723</v>
      </c>
      <c r="H12" s="408" t="s">
        <v>724</v>
      </c>
      <c r="I12" s="408" t="s">
        <v>3071</v>
      </c>
    </row>
    <row r="13" spans="1:9" ht="54.75" customHeight="1">
      <c r="A13" s="405">
        <v>11</v>
      </c>
      <c r="B13" s="408"/>
      <c r="C13" s="419"/>
      <c r="D13" s="407" t="str">
        <f t="shared" si="0"/>
        <v>Für jedes Thema (A1, B1, ...) kann eine bestimmte Anzahl an Gemeinwohl-Punkten erreicht werden. Um zu ermitteln, wie viele davon Ihr Unternehmen erhält, gehen Sie wie folgt vor:</v>
      </c>
      <c r="E13" s="408" t="s">
        <v>725</v>
      </c>
      <c r="F13" s="408" t="s">
        <v>726</v>
      </c>
      <c r="G13" s="413" t="s">
        <v>727</v>
      </c>
      <c r="H13" s="408" t="s">
        <v>728</v>
      </c>
      <c r="I13" s="408" t="s">
        <v>3345</v>
      </c>
    </row>
    <row r="14" spans="1:9" ht="68.25" customHeight="1">
      <c r="A14" s="405">
        <v>12</v>
      </c>
      <c r="B14" s="408"/>
      <c r="C14" s="419"/>
      <c r="D14" s="407" t="str">
        <f t="shared" si="0"/>
        <v>Beschreiben Sie auf Basis des Arbeitsbuchs in wenigen Stichworten Ist-Zustand und Verbesserungspotenzial für die verschiedenen Aspekte (optional, ist für die Berechnung nicht unbedingt notwendig).</v>
      </c>
      <c r="E14" s="394" t="s">
        <v>729</v>
      </c>
      <c r="F14" s="408" t="s">
        <v>730</v>
      </c>
      <c r="G14" s="413" t="s">
        <v>731</v>
      </c>
      <c r="H14" s="408" t="s">
        <v>732</v>
      </c>
      <c r="I14" s="408" t="s">
        <v>3072</v>
      </c>
    </row>
    <row r="15" spans="1:9" ht="94.5" customHeight="1">
      <c r="A15" s="405">
        <v>13</v>
      </c>
      <c r="B15" s="408"/>
      <c r="C15" s="419"/>
      <c r="D15" s="407" t="str">
        <f t="shared" si="0"/>
        <v>Geben Sie - aufbauend auf diesen Beschreibungen - an, entsprechend welchem Skalenwert (0-10) Ihrer Meinung nach der jeweilige Aspekt erfüllt ist (Spalte "Erfüllungsgrad"). Anhaltspunkte zur Wahl des "richtigen" Skalenwerts finden Sie wiederum im Arbeitsbuch.</v>
      </c>
      <c r="E15" s="420" t="s">
        <v>733</v>
      </c>
      <c r="F15" s="408" t="s">
        <v>734</v>
      </c>
      <c r="G15" s="413" t="s">
        <v>735</v>
      </c>
      <c r="H15" s="408" t="s">
        <v>736</v>
      </c>
      <c r="I15" s="408" t="s">
        <v>3073</v>
      </c>
    </row>
    <row r="16" spans="1:9" ht="44" customHeight="1">
      <c r="A16" s="405">
        <v>14</v>
      </c>
      <c r="B16" s="408"/>
      <c r="C16" s="419"/>
      <c r="D16" s="407" t="str">
        <f t="shared" si="0"/>
        <v xml:space="preserve">Für die Bewertung der Negativaspekte geben Sie Punktewerte entsprechend der Beschreibungen im Arbeitsbuch an. </v>
      </c>
      <c r="E16" s="408" t="s">
        <v>737</v>
      </c>
      <c r="F16" s="408" t="s">
        <v>738</v>
      </c>
      <c r="G16" s="413" t="s">
        <v>739</v>
      </c>
      <c r="H16" s="408" t="s">
        <v>740</v>
      </c>
      <c r="I16" s="408" t="s">
        <v>3074</v>
      </c>
    </row>
    <row r="17" spans="1:9" ht="124.5" customHeight="1">
      <c r="A17" s="405">
        <v>15</v>
      </c>
      <c r="B17" s="408"/>
      <c r="C17" s="419"/>
      <c r="D17" s="407" t="str">
        <f t="shared" si="0"/>
        <v>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E17" s="421" t="s">
        <v>741</v>
      </c>
      <c r="F17" s="408" t="s">
        <v>742</v>
      </c>
      <c r="G17" s="413" t="s">
        <v>743</v>
      </c>
      <c r="H17" s="408" t="s">
        <v>744</v>
      </c>
      <c r="I17" s="408" t="s">
        <v>3075</v>
      </c>
    </row>
    <row r="18" spans="1:9" ht="54.75" customHeight="1">
      <c r="A18" s="405">
        <v>16</v>
      </c>
      <c r="B18" s="408"/>
      <c r="C18" s="419"/>
      <c r="D18" s="407" t="str">
        <f t="shared" si="0"/>
        <v>Bei der Berechnung werden die Gesamtwerte pro Thema automatisch entsprechend der Angaben im Faktenblatt gewichtet und auf ganzzahlige Vielfache von 10% gerundet.</v>
      </c>
      <c r="E18" s="408" t="s">
        <v>745</v>
      </c>
      <c r="F18" s="408" t="s">
        <v>746</v>
      </c>
      <c r="G18" s="413" t="s">
        <v>747</v>
      </c>
      <c r="H18" s="408" t="s">
        <v>748</v>
      </c>
      <c r="I18" s="408" t="s">
        <v>3076</v>
      </c>
    </row>
    <row r="19" spans="1:9" ht="28.5" customHeight="1">
      <c r="B19" s="408"/>
      <c r="C19" s="419"/>
      <c r="D19" s="407" t="str">
        <f t="shared" si="0"/>
        <v>Die "GW-Matrix" bietet einen tabellarischen Überblick über Ihr Ergebnis.</v>
      </c>
      <c r="E19" s="408" t="s">
        <v>749</v>
      </c>
      <c r="F19" s="408" t="s">
        <v>750</v>
      </c>
      <c r="G19" s="413" t="s">
        <v>751</v>
      </c>
      <c r="H19" s="408" t="s">
        <v>752</v>
      </c>
      <c r="I19" s="408" t="s">
        <v>3077</v>
      </c>
    </row>
    <row r="20" spans="1:9" ht="41.75" customHeight="1">
      <c r="B20" s="419"/>
      <c r="C20" s="419"/>
      <c r="D20" s="407" t="str">
        <f t="shared" si="0"/>
        <v>Die "GW-Matrix" bietet einen tabellarischen Blick auf Ihr Ergebnis.</v>
      </c>
      <c r="E20" s="408" t="s">
        <v>753</v>
      </c>
      <c r="F20" s="408" t="s">
        <v>754</v>
      </c>
      <c r="G20" s="413" t="s">
        <v>755</v>
      </c>
      <c r="H20" s="408" t="s">
        <v>756</v>
      </c>
      <c r="I20" s="408" t="s">
        <v>3077</v>
      </c>
    </row>
    <row r="21" spans="1:9" ht="41.75" customHeight="1">
      <c r="B21" s="419"/>
      <c r="C21" s="419"/>
      <c r="D21" s="407" t="str">
        <f t="shared" si="0"/>
        <v>Der "Werte-Stern" zeigt schließlich Ihr Ergebnis nach Werten gegliedert in graphischer Form.</v>
      </c>
      <c r="E21" s="408" t="s">
        <v>757</v>
      </c>
      <c r="F21" s="408" t="s">
        <v>758</v>
      </c>
      <c r="G21" s="413" t="s">
        <v>759</v>
      </c>
      <c r="H21" s="408" t="s">
        <v>760</v>
      </c>
      <c r="I21" s="408" t="s">
        <v>3346</v>
      </c>
    </row>
    <row r="22" spans="1:9" ht="41.75" customHeight="1">
      <c r="B22" s="419"/>
      <c r="C22" s="419"/>
      <c r="D22" s="407" t="str">
        <f t="shared" si="0"/>
        <v>Der "Gruppen-Stern" zeigt schließlich Ihr Ergebnis nach Berührungsgruppen gegliedert in graphischer Form.</v>
      </c>
      <c r="E22" s="394" t="s">
        <v>761</v>
      </c>
      <c r="F22" s="408" t="s">
        <v>762</v>
      </c>
      <c r="G22" s="413" t="s">
        <v>763</v>
      </c>
      <c r="H22" s="408" t="s">
        <v>764</v>
      </c>
      <c r="I22" s="408" t="s">
        <v>3347</v>
      </c>
    </row>
    <row r="23" spans="1:9" ht="28.5" customHeight="1">
      <c r="B23" s="419"/>
      <c r="C23" s="419"/>
      <c r="D23" s="407" t="str">
        <f t="shared" si="0"/>
        <v>Der "Themen-Stern" zeigt schließlich Ihr Ergebnis in allen Themen in graphischer Form.</v>
      </c>
      <c r="E23" s="412" t="s">
        <v>765</v>
      </c>
      <c r="F23" s="408" t="s">
        <v>766</v>
      </c>
      <c r="G23" s="413" t="s">
        <v>767</v>
      </c>
      <c r="H23" s="408" t="s">
        <v>768</v>
      </c>
      <c r="I23" s="408" t="s">
        <v>3348</v>
      </c>
    </row>
    <row r="24" spans="1:9" ht="28.5" customHeight="1">
      <c r="B24" s="419"/>
      <c r="C24" s="419"/>
      <c r="D24" s="407" t="str">
        <f t="shared" si="0"/>
        <v xml:space="preserve">Hier finden Sie eine Beschreibung der Gewichtungsmodelles. </v>
      </c>
      <c r="E24" s="408" t="s">
        <v>769</v>
      </c>
      <c r="F24" s="408" t="s">
        <v>770</v>
      </c>
      <c r="G24" s="413" t="s">
        <v>771</v>
      </c>
      <c r="H24" s="408" t="s">
        <v>772</v>
      </c>
      <c r="I24" s="408" t="s">
        <v>3078</v>
      </c>
    </row>
    <row r="25" spans="1:9" ht="41.75" customHeight="1">
      <c r="B25" s="419"/>
      <c r="C25" s="419"/>
      <c r="D25" s="407" t="str">
        <f t="shared" si="0"/>
        <v>Hier erfolgt die Berechnung wie die einzelnen Berührungsgruppen und Themen gewichtet werden.</v>
      </c>
      <c r="E25" s="408" t="s">
        <v>773</v>
      </c>
      <c r="F25" s="408" t="s">
        <v>774</v>
      </c>
      <c r="G25" s="413" t="s">
        <v>775</v>
      </c>
      <c r="H25" s="408" t="s">
        <v>776</v>
      </c>
      <c r="I25" s="408" t="s">
        <v>3079</v>
      </c>
    </row>
    <row r="26" spans="1:9" ht="54.75" customHeight="1">
      <c r="B26" s="419"/>
      <c r="C26" s="419"/>
      <c r="D26" s="407" t="str">
        <f t="shared" si="0"/>
        <v xml:space="preserve">Enthält Einschätzungen der Relevanz von Zulieferkette und ökologische Nachhaltigkeit für alle Branchen,, die für die Gewichtung herangezogen werden. </v>
      </c>
      <c r="E26" s="408" t="s">
        <v>777</v>
      </c>
      <c r="F26" s="408" t="s">
        <v>778</v>
      </c>
      <c r="G26" s="413" t="s">
        <v>779</v>
      </c>
      <c r="H26" s="408" t="s">
        <v>780</v>
      </c>
      <c r="I26" s="408" t="s">
        <v>3080</v>
      </c>
    </row>
    <row r="27" spans="1:9" ht="28.5" customHeight="1">
      <c r="B27" s="419"/>
      <c r="C27" s="419"/>
      <c r="D27" s="407" t="str">
        <f t="shared" si="0"/>
        <v xml:space="preserve">Enthält Statistiken für Länder und Regionen, die für die Gewichtung herangezogen werden. </v>
      </c>
      <c r="E27" s="408" t="s">
        <v>781</v>
      </c>
      <c r="F27" s="408" t="s">
        <v>782</v>
      </c>
      <c r="G27" s="413" t="s">
        <v>783</v>
      </c>
      <c r="H27" s="408" t="s">
        <v>784</v>
      </c>
      <c r="I27" s="408" t="s">
        <v>3081</v>
      </c>
    </row>
    <row r="28" spans="1:9" ht="15.75" customHeight="1">
      <c r="B28" s="419"/>
      <c r="C28" s="419"/>
      <c r="D28" s="407" t="str">
        <f t="shared" si="0"/>
        <v>2. Fakten zum Unternehmen</v>
      </c>
      <c r="E28" s="408" t="s">
        <v>785</v>
      </c>
      <c r="F28" s="408" t="s">
        <v>786</v>
      </c>
      <c r="G28" s="413" t="s">
        <v>787</v>
      </c>
      <c r="H28" s="408" t="s">
        <v>788</v>
      </c>
      <c r="I28" s="408" t="s">
        <v>3082</v>
      </c>
    </row>
    <row r="29" spans="1:9" ht="15.75" customHeight="1">
      <c r="B29" s="419"/>
      <c r="C29" s="419"/>
      <c r="D29" s="407" t="str">
        <f t="shared" si="0"/>
        <v>3. Berechnung</v>
      </c>
      <c r="E29" s="408" t="s">
        <v>789</v>
      </c>
      <c r="F29" s="408" t="s">
        <v>790</v>
      </c>
      <c r="G29" s="413" t="s">
        <v>791</v>
      </c>
      <c r="H29" s="408" t="s">
        <v>792</v>
      </c>
      <c r="I29" s="408" t="s">
        <v>3083</v>
      </c>
    </row>
    <row r="30" spans="1:9" ht="15.75" customHeight="1">
      <c r="B30" s="419"/>
      <c r="C30" s="419"/>
      <c r="D30" s="407" t="str">
        <f t="shared" si="0"/>
        <v>4. GW-Matrix</v>
      </c>
      <c r="E30" s="408" t="s">
        <v>793</v>
      </c>
      <c r="F30" s="408" t="s">
        <v>794</v>
      </c>
      <c r="G30" s="413" t="s">
        <v>795</v>
      </c>
      <c r="H30" s="408" t="s">
        <v>796</v>
      </c>
      <c r="I30" s="408" t="s">
        <v>3084</v>
      </c>
    </row>
    <row r="31" spans="1:9" ht="15.75" customHeight="1">
      <c r="B31" s="419"/>
      <c r="C31" s="419"/>
      <c r="D31" s="407" t="str">
        <f t="shared" si="0"/>
        <v>5. Werte-Stern</v>
      </c>
      <c r="E31" s="408" t="s">
        <v>797</v>
      </c>
      <c r="F31" s="408" t="s">
        <v>798</v>
      </c>
      <c r="G31" s="413" t="s">
        <v>799</v>
      </c>
      <c r="H31" s="408" t="s">
        <v>800</v>
      </c>
      <c r="I31" s="408" t="s">
        <v>3085</v>
      </c>
    </row>
    <row r="32" spans="1:9" ht="15.75" customHeight="1">
      <c r="B32" s="419"/>
      <c r="C32" s="419"/>
      <c r="D32" s="407" t="str">
        <f t="shared" si="0"/>
        <v>6. Gruppen-Stern</v>
      </c>
      <c r="E32" s="408" t="s">
        <v>801</v>
      </c>
      <c r="F32" s="408" t="s">
        <v>802</v>
      </c>
      <c r="G32" s="413" t="s">
        <v>803</v>
      </c>
      <c r="H32" s="408" t="s">
        <v>804</v>
      </c>
      <c r="I32" s="408" t="s">
        <v>3086</v>
      </c>
    </row>
    <row r="33" spans="2:9" ht="15.75" customHeight="1">
      <c r="B33" s="419"/>
      <c r="C33" s="419"/>
      <c r="D33" s="407" t="str">
        <f t="shared" si="0"/>
        <v>7. Themen-Stern</v>
      </c>
      <c r="E33" s="408" t="s">
        <v>805</v>
      </c>
      <c r="F33" s="408" t="s">
        <v>806</v>
      </c>
      <c r="G33" s="413" t="s">
        <v>807</v>
      </c>
      <c r="H33" s="408" t="s">
        <v>808</v>
      </c>
      <c r="I33" s="408" t="s">
        <v>3087</v>
      </c>
    </row>
    <row r="34" spans="2:9" ht="15.75" customHeight="1">
      <c r="B34" s="419"/>
      <c r="C34" s="419"/>
      <c r="D34" s="407" t="str">
        <f t="shared" si="0"/>
        <v>8. Beschreibung Gewichtungsmodell</v>
      </c>
      <c r="E34" s="408" t="s">
        <v>809</v>
      </c>
      <c r="F34" s="408" t="s">
        <v>810</v>
      </c>
      <c r="G34" s="413" t="s">
        <v>811</v>
      </c>
      <c r="H34" s="408" t="s">
        <v>812</v>
      </c>
      <c r="I34" s="408" t="s">
        <v>3088</v>
      </c>
    </row>
    <row r="35" spans="2:9" ht="15.75" customHeight="1">
      <c r="B35" s="419"/>
      <c r="C35" s="419"/>
      <c r="D35" s="407" t="str">
        <f t="shared" si="0"/>
        <v>9. Gewichtung (ausgeblendet)</v>
      </c>
      <c r="E35" s="408" t="s">
        <v>813</v>
      </c>
      <c r="F35" s="408" t="s">
        <v>814</v>
      </c>
      <c r="G35" s="413" t="s">
        <v>815</v>
      </c>
      <c r="H35" s="408" t="s">
        <v>816</v>
      </c>
      <c r="I35" s="408" t="s">
        <v>3089</v>
      </c>
    </row>
    <row r="36" spans="2:9" ht="15.75" customHeight="1">
      <c r="B36" s="419"/>
      <c r="C36" s="419"/>
      <c r="D36" s="407" t="str">
        <f t="shared" si="0"/>
        <v>10. Branchen (ausgeblendet)</v>
      </c>
      <c r="E36" s="408" t="s">
        <v>817</v>
      </c>
      <c r="F36" s="408" t="s">
        <v>818</v>
      </c>
      <c r="G36" s="413" t="s">
        <v>819</v>
      </c>
      <c r="H36" s="408" t="s">
        <v>820</v>
      </c>
      <c r="I36" s="408" t="s">
        <v>3090</v>
      </c>
    </row>
    <row r="37" spans="2:9" ht="15.75" customHeight="1">
      <c r="B37" s="419"/>
      <c r="C37" s="419"/>
      <c r="D37" s="407" t="str">
        <f t="shared" si="0"/>
        <v>11. Länder und Regionen (ausgeblendet)</v>
      </c>
      <c r="E37" s="408" t="s">
        <v>821</v>
      </c>
      <c r="F37" s="408" t="s">
        <v>822</v>
      </c>
      <c r="G37" s="413" t="s">
        <v>823</v>
      </c>
      <c r="H37" s="408" t="s">
        <v>824</v>
      </c>
      <c r="I37" s="408" t="s">
        <v>3091</v>
      </c>
    </row>
    <row r="38" spans="2:9" ht="15.75" customHeight="1">
      <c r="B38" s="419"/>
      <c r="C38" s="419"/>
      <c r="D38" s="407"/>
      <c r="E38" s="408"/>
      <c r="G38" s="413"/>
      <c r="H38" s="408"/>
      <c r="I38" s="408">
        <v>0</v>
      </c>
    </row>
    <row r="39" spans="2:9" ht="15.75" customHeight="1">
      <c r="B39" s="419"/>
      <c r="C39" s="419"/>
      <c r="D39" s="407">
        <f t="shared" ref="D39:D102" si="2">HLOOKUP($C$1,$E$1:$V$4910,ROW(D39))</f>
        <v>0</v>
      </c>
      <c r="E39" s="408"/>
      <c r="G39" s="413"/>
      <c r="H39" s="408"/>
      <c r="I39" s="408">
        <v>0</v>
      </c>
    </row>
    <row r="40" spans="2:9" ht="15.75" customHeight="1">
      <c r="B40" s="419"/>
      <c r="C40" s="419"/>
      <c r="D40" s="407" t="str">
        <f t="shared" si="2"/>
        <v>LEGENDE</v>
      </c>
      <c r="E40" s="408" t="s">
        <v>825</v>
      </c>
      <c r="F40" s="408" t="s">
        <v>826</v>
      </c>
      <c r="G40" s="413" t="s">
        <v>827</v>
      </c>
      <c r="H40" s="408" t="s">
        <v>828</v>
      </c>
      <c r="I40" s="408" t="s">
        <v>825</v>
      </c>
    </row>
    <row r="41" spans="2:9" ht="28.5" customHeight="1">
      <c r="B41" s="419"/>
      <c r="C41" s="419"/>
      <c r="D41" s="407" t="str">
        <f t="shared" si="2"/>
        <v>Feld ist beschreibbar (grüner Rahmen, dunkelgrüne Schrift)</v>
      </c>
      <c r="E41" s="408" t="s">
        <v>829</v>
      </c>
      <c r="F41" s="408" t="s">
        <v>830</v>
      </c>
      <c r="G41" s="413" t="s">
        <v>831</v>
      </c>
      <c r="H41" s="408" t="s">
        <v>832</v>
      </c>
      <c r="I41" s="408" t="s">
        <v>3092</v>
      </c>
    </row>
    <row r="42" spans="2:9" ht="28.5" customHeight="1">
      <c r="B42" s="419"/>
      <c r="C42" s="419"/>
      <c r="D42" s="407" t="str">
        <f t="shared" si="2"/>
        <v>Feld ist nicht beschreibbar (grauer Rahmen, dunkelgraue Schrift)</v>
      </c>
      <c r="E42" s="408" t="s">
        <v>833</v>
      </c>
      <c r="F42" s="408" t="s">
        <v>834</v>
      </c>
      <c r="G42" s="413" t="s">
        <v>835</v>
      </c>
      <c r="H42" s="408" t="s">
        <v>836</v>
      </c>
      <c r="I42" s="408" t="s">
        <v>3093</v>
      </c>
    </row>
    <row r="43" spans="2:9" ht="26.75" customHeight="1">
      <c r="B43" s="419"/>
      <c r="C43" s="419"/>
      <c r="D43" s="407" t="str">
        <f t="shared" si="2"/>
        <v>unerlaubter Wert eingegeben (zur korrekten Berechnung Wert ändern)</v>
      </c>
      <c r="E43" s="408" t="s">
        <v>837</v>
      </c>
      <c r="F43" s="408" t="s">
        <v>838</v>
      </c>
      <c r="G43" s="413" t="s">
        <v>839</v>
      </c>
      <c r="H43" s="408" t="s">
        <v>840</v>
      </c>
      <c r="I43" s="408" t="s">
        <v>3094</v>
      </c>
    </row>
    <row r="44" spans="2:9" ht="26.75" customHeight="1">
      <c r="B44" s="419"/>
      <c r="C44" s="419"/>
      <c r="D44" s="407" t="str">
        <f t="shared" si="2"/>
        <v>fehlerhafte Eingabe</v>
      </c>
      <c r="E44" s="408" t="s">
        <v>3039</v>
      </c>
      <c r="F44" s="408" t="s">
        <v>3039</v>
      </c>
      <c r="G44" s="413" t="s">
        <v>3040</v>
      </c>
      <c r="H44" s="408" t="s">
        <v>3041</v>
      </c>
      <c r="I44" s="408" t="s">
        <v>3095</v>
      </c>
    </row>
    <row r="45" spans="2:9" ht="44" customHeight="1">
      <c r="B45" s="419"/>
      <c r="C45" s="419"/>
      <c r="D45" s="407" t="str">
        <f t="shared" si="2"/>
        <v>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c r="E45" s="408" t="s">
        <v>3055</v>
      </c>
      <c r="F45" s="408" t="s">
        <v>3057</v>
      </c>
      <c r="G45" s="413" t="s">
        <v>3060</v>
      </c>
      <c r="H45" s="408" t="s">
        <v>3064</v>
      </c>
      <c r="I45" s="408">
        <v>0</v>
      </c>
    </row>
    <row r="46" spans="2:9" ht="26.75" customHeight="1">
      <c r="B46" s="419"/>
      <c r="C46" s="419"/>
      <c r="D46" s="407" t="str">
        <f t="shared" si="2"/>
        <v>Bitte beachten Sie, dass die Zahlenformate in der Matrix gerundet
dargestellt werden</v>
      </c>
      <c r="E46" s="408" t="s">
        <v>3056</v>
      </c>
      <c r="F46" s="408" t="s">
        <v>3058</v>
      </c>
      <c r="G46" s="413" t="s">
        <v>3059</v>
      </c>
      <c r="H46" s="408" t="s">
        <v>3061</v>
      </c>
      <c r="I46" s="408">
        <v>0</v>
      </c>
    </row>
    <row r="47" spans="2:9" ht="38.25" customHeight="1">
      <c r="B47" s="419"/>
      <c r="C47" s="419"/>
      <c r="D47" s="407">
        <f t="shared" si="2"/>
        <v>0</v>
      </c>
      <c r="E47" s="408"/>
      <c r="G47" s="413"/>
      <c r="H47" s="408"/>
      <c r="I47" s="408">
        <v>0</v>
      </c>
    </row>
    <row r="48" spans="2:9" ht="26.75" customHeight="1">
      <c r="B48" s="419"/>
      <c r="C48" s="419"/>
      <c r="D48" s="407">
        <f t="shared" si="2"/>
        <v>0</v>
      </c>
      <c r="E48" s="408"/>
      <c r="G48" s="413"/>
      <c r="H48" s="408"/>
      <c r="I48" s="408">
        <v>0</v>
      </c>
    </row>
    <row r="49" spans="2:9" ht="26.75" customHeight="1">
      <c r="B49" s="419"/>
      <c r="C49" s="419"/>
      <c r="D49" s="407">
        <f t="shared" si="2"/>
        <v>0</v>
      </c>
      <c r="E49" s="408"/>
      <c r="G49" s="413"/>
      <c r="H49" s="408"/>
      <c r="I49" s="408">
        <v>0</v>
      </c>
    </row>
    <row r="50" spans="2:9" ht="26.75" customHeight="1">
      <c r="B50" s="419"/>
      <c r="C50" s="419"/>
      <c r="D50" s="407">
        <f t="shared" si="2"/>
        <v>0</v>
      </c>
      <c r="E50" s="408"/>
      <c r="G50" s="413"/>
      <c r="H50" s="408"/>
      <c r="I50" s="408">
        <v>0</v>
      </c>
    </row>
    <row r="51" spans="2:9" ht="26.75" customHeight="1">
      <c r="B51" s="419"/>
      <c r="C51" s="419"/>
      <c r="D51" s="407">
        <f t="shared" si="2"/>
        <v>0</v>
      </c>
      <c r="E51" s="408"/>
      <c r="G51" s="413"/>
      <c r="H51" s="408"/>
      <c r="I51" s="408">
        <v>0</v>
      </c>
    </row>
    <row r="52" spans="2:9" ht="26.75" customHeight="1">
      <c r="B52" s="419"/>
      <c r="C52" s="419"/>
      <c r="D52" s="407" t="str">
        <f t="shared" si="2"/>
        <v>ja</v>
      </c>
      <c r="E52" s="408" t="s">
        <v>841</v>
      </c>
      <c r="F52" s="408" t="s">
        <v>842</v>
      </c>
      <c r="G52" s="413" t="s">
        <v>843</v>
      </c>
      <c r="H52" s="408" t="s">
        <v>844</v>
      </c>
      <c r="I52" s="408" t="s">
        <v>3096</v>
      </c>
    </row>
    <row r="53" spans="2:9" ht="26.75" customHeight="1">
      <c r="B53" s="419"/>
      <c r="C53" s="419"/>
      <c r="D53" s="407" t="str">
        <f t="shared" si="2"/>
        <v>nein</v>
      </c>
      <c r="E53" s="408" t="s">
        <v>845</v>
      </c>
      <c r="F53" s="408" t="s">
        <v>846</v>
      </c>
      <c r="G53" s="413" t="s">
        <v>846</v>
      </c>
      <c r="H53" s="408" t="s">
        <v>847</v>
      </c>
      <c r="I53" s="408" t="s">
        <v>3097</v>
      </c>
    </row>
    <row r="54" spans="2:9" ht="15.75" customHeight="1">
      <c r="D54" s="407" t="str">
        <f t="shared" si="2"/>
        <v>KONTAKT</v>
      </c>
      <c r="E54" s="408" t="s">
        <v>848</v>
      </c>
      <c r="F54" s="408" t="s">
        <v>849</v>
      </c>
      <c r="G54" s="413" t="s">
        <v>850</v>
      </c>
      <c r="H54" s="408" t="s">
        <v>851</v>
      </c>
      <c r="I54" s="408" t="s">
        <v>850</v>
      </c>
    </row>
    <row r="55" spans="2:9" ht="41.75" customHeight="1">
      <c r="D55" s="407" t="str">
        <f t="shared" si="2"/>
        <v>Fragen zur Bilanz-Erstellung: beratung@gemeinwohl-oekonomie.org (GWÖ-BeraterInnen);</v>
      </c>
      <c r="E55" s="408" t="s">
        <v>852</v>
      </c>
      <c r="F55" s="408" t="s">
        <v>853</v>
      </c>
      <c r="G55" s="413" t="s">
        <v>854</v>
      </c>
      <c r="H55" s="408" t="s">
        <v>855</v>
      </c>
      <c r="I55" s="408" t="s">
        <v>3098</v>
      </c>
    </row>
    <row r="56" spans="2:9" ht="28.5" customHeight="1">
      <c r="D56" s="407" t="str">
        <f t="shared" si="2"/>
        <v>Fragen zur Auditierung: audit@gemeinwohl-oekonomie.org (GWÖ-AuditorInnen);</v>
      </c>
      <c r="E56" s="408" t="s">
        <v>856</v>
      </c>
      <c r="F56" s="422" t="s">
        <v>857</v>
      </c>
      <c r="G56" s="413" t="s">
        <v>858</v>
      </c>
      <c r="H56" s="408" t="s">
        <v>859</v>
      </c>
      <c r="I56" s="408" t="s">
        <v>3099</v>
      </c>
    </row>
    <row r="57" spans="2:9" ht="41.75" customHeight="1">
      <c r="D57" s="407" t="str">
        <f t="shared" si="2"/>
        <v>Weiterentwicklung der Matrix: bilanz@ecogood.org (GWÖ-Matrix Entwicklungsteam);</v>
      </c>
      <c r="E57" s="408" t="s">
        <v>860</v>
      </c>
      <c r="F57" s="408" t="str">
        <f>"[it]"&amp;E57</f>
        <v>[it]Weiterentwicklung der Matrix: bilanz@ecogood.org (GWÖ-Matrix Entwicklungsteam);</v>
      </c>
      <c r="G57" s="413" t="s">
        <v>861</v>
      </c>
      <c r="H57" s="408" t="s">
        <v>862</v>
      </c>
      <c r="I57" s="408" t="s">
        <v>3100</v>
      </c>
    </row>
    <row r="58" spans="2:9" ht="79.25" customHeight="1">
      <c r="D58" s="407" t="str">
        <f t="shared" si="2"/>
        <v>Excel-Programmierung: Christian Loy (christian.loy@gmx.at); Christian Kozina; Multilanguage-tool: Bernhard Oberrauch</v>
      </c>
      <c r="E58" s="423" t="s">
        <v>863</v>
      </c>
      <c r="F58" s="408" t="s">
        <v>864</v>
      </c>
      <c r="G58" s="413" t="s">
        <v>865</v>
      </c>
      <c r="H58" s="408" t="s">
        <v>866</v>
      </c>
      <c r="I58" s="408" t="s">
        <v>3101</v>
      </c>
    </row>
    <row r="59" spans="2:9" ht="15.75" customHeight="1">
      <c r="D59" s="407" t="str">
        <f t="shared" si="2"/>
        <v>Inhalte: GWÖ-Matrix Entwicklungsteam</v>
      </c>
      <c r="E59" s="408" t="s">
        <v>867</v>
      </c>
      <c r="F59" s="408" t="str">
        <f>"[it]"&amp;E59</f>
        <v>[it]Inhalte: GWÖ-Matrix Entwicklungsteam</v>
      </c>
      <c r="G59" s="413" t="s">
        <v>868</v>
      </c>
      <c r="H59" s="408" t="s">
        <v>869</v>
      </c>
      <c r="I59" s="408" t="s">
        <v>3349</v>
      </c>
    </row>
    <row r="60" spans="2:9" ht="15.75" customHeight="1">
      <c r="D60" s="407" t="str">
        <f t="shared" si="2"/>
        <v>ANMERKUNGEN</v>
      </c>
      <c r="E60" s="408" t="s">
        <v>870</v>
      </c>
      <c r="F60" s="408" t="s">
        <v>871</v>
      </c>
      <c r="G60" s="413" t="s">
        <v>872</v>
      </c>
      <c r="H60" s="408" t="s">
        <v>873</v>
      </c>
      <c r="I60" s="408" t="s">
        <v>872</v>
      </c>
    </row>
    <row r="61" spans="2:9" ht="68.25" customHeight="1">
      <c r="D61" s="407" t="str">
        <f t="shared" si="2"/>
        <v>Alle Tabellen sind optimiert für den Ausdruck auf A4 (Hoch- oder Querformat).
Die Höhe der Zeilen ist veränderbar, falls Sie mehr Text eingeben wollen.</v>
      </c>
      <c r="E61" s="408" t="s">
        <v>874</v>
      </c>
      <c r="F61" s="408" t="s">
        <v>875</v>
      </c>
      <c r="G61" s="413" t="s">
        <v>3052</v>
      </c>
      <c r="H61" s="408" t="s">
        <v>3053</v>
      </c>
      <c r="I61" s="408" t="s">
        <v>3102</v>
      </c>
    </row>
    <row r="62" spans="2:9" ht="15.75" customHeight="1">
      <c r="D62" s="407" t="str">
        <f t="shared" si="2"/>
        <v>ALLGEMEINE ANGABEN ZUM UNTERNEHMEN</v>
      </c>
      <c r="E62" s="408" t="s">
        <v>876</v>
      </c>
      <c r="F62" s="408" t="s">
        <v>877</v>
      </c>
      <c r="G62" s="413" t="s">
        <v>878</v>
      </c>
      <c r="H62" s="408" t="s">
        <v>879</v>
      </c>
      <c r="I62" s="408" t="s">
        <v>3103</v>
      </c>
    </row>
    <row r="63" spans="2:9" ht="15.75" customHeight="1">
      <c r="D63" s="407" t="str">
        <f t="shared" si="2"/>
        <v>Bitte vollständig ausfüllen!</v>
      </c>
      <c r="E63" s="408" t="s">
        <v>880</v>
      </c>
      <c r="F63" s="408" t="s">
        <v>881</v>
      </c>
      <c r="G63" s="413" t="s">
        <v>882</v>
      </c>
      <c r="H63" s="408" t="s">
        <v>883</v>
      </c>
      <c r="I63" s="408" t="s">
        <v>3104</v>
      </c>
    </row>
    <row r="64" spans="2:9" ht="15.75" customHeight="1">
      <c r="D64" s="407" t="str">
        <f t="shared" si="2"/>
        <v>Name des Unternehmens:</v>
      </c>
      <c r="E64" s="408" t="s">
        <v>884</v>
      </c>
      <c r="F64" s="408" t="s">
        <v>885</v>
      </c>
      <c r="G64" s="413" t="s">
        <v>886</v>
      </c>
      <c r="H64" s="408" t="s">
        <v>887</v>
      </c>
      <c r="I64" s="408" t="s">
        <v>3105</v>
      </c>
    </row>
    <row r="65" spans="4:9" ht="15.75" customHeight="1">
      <c r="D65" s="407" t="str">
        <f t="shared" si="2"/>
        <v>Anschrift:</v>
      </c>
      <c r="E65" s="408" t="s">
        <v>888</v>
      </c>
      <c r="F65" s="408" t="s">
        <v>889</v>
      </c>
      <c r="G65" s="413" t="s">
        <v>890</v>
      </c>
      <c r="H65" s="408" t="s">
        <v>891</v>
      </c>
      <c r="I65" s="408" t="s">
        <v>3106</v>
      </c>
    </row>
    <row r="66" spans="4:9" ht="15.75" customHeight="1">
      <c r="D66" s="407" t="str">
        <f t="shared" si="2"/>
        <v>Staat:</v>
      </c>
      <c r="E66" s="408" t="s">
        <v>892</v>
      </c>
      <c r="F66" s="408" t="s">
        <v>893</v>
      </c>
      <c r="G66" s="413" t="s">
        <v>894</v>
      </c>
      <c r="H66" s="408" t="s">
        <v>895</v>
      </c>
      <c r="I66" s="408" t="s">
        <v>3107</v>
      </c>
    </row>
    <row r="67" spans="4:9" ht="15.75" customHeight="1">
      <c r="D67" s="407" t="str">
        <f t="shared" si="2"/>
        <v>Branche:</v>
      </c>
      <c r="E67" s="408" t="s">
        <v>896</v>
      </c>
      <c r="F67" s="408" t="s">
        <v>897</v>
      </c>
      <c r="G67" s="413" t="s">
        <v>898</v>
      </c>
      <c r="H67" s="408" t="s">
        <v>899</v>
      </c>
      <c r="I67" s="408" t="s">
        <v>3108</v>
      </c>
    </row>
    <row r="68" spans="4:9" ht="15.75" customHeight="1">
      <c r="D68" s="407" t="str">
        <f t="shared" si="2"/>
        <v>Website:</v>
      </c>
      <c r="E68" s="408" t="s">
        <v>900</v>
      </c>
      <c r="F68" s="408" t="s">
        <v>901</v>
      </c>
      <c r="G68" s="413" t="s">
        <v>900</v>
      </c>
      <c r="H68" s="408" t="s">
        <v>902</v>
      </c>
      <c r="I68" s="408" t="s">
        <v>3109</v>
      </c>
    </row>
    <row r="69" spans="4:9" ht="15.75" customHeight="1">
      <c r="D69" s="407" t="str">
        <f t="shared" si="2"/>
        <v>Anzahl der MitarbeiterInnen:</v>
      </c>
      <c r="E69" s="408" t="s">
        <v>903</v>
      </c>
      <c r="F69" s="408" t="s">
        <v>904</v>
      </c>
      <c r="G69" s="413" t="s">
        <v>905</v>
      </c>
      <c r="H69" s="408" t="s">
        <v>906</v>
      </c>
      <c r="I69" s="408" t="s">
        <v>3110</v>
      </c>
    </row>
    <row r="70" spans="4:9" ht="15.75" customHeight="1">
      <c r="D70" s="407" t="str">
        <f t="shared" si="2"/>
        <v>Ein-Personen-Unternehmen:</v>
      </c>
      <c r="E70" s="408" t="s">
        <v>907</v>
      </c>
      <c r="F70" s="408" t="s">
        <v>908</v>
      </c>
      <c r="G70" s="413" t="s">
        <v>909</v>
      </c>
      <c r="H70" s="408" t="s">
        <v>910</v>
      </c>
      <c r="I70" s="408" t="s">
        <v>3111</v>
      </c>
    </row>
    <row r="71" spans="4:9" ht="41.75" customHeight="1">
      <c r="D71" s="407" t="str">
        <f t="shared" si="2"/>
        <v>(Hinweis: Wenn ja, werden die für EPUs gültigen Werte automatisch in die Berechnung übernommen.)</v>
      </c>
      <c r="E71" s="408" t="s">
        <v>911</v>
      </c>
      <c r="F71" s="408" t="s">
        <v>912</v>
      </c>
      <c r="G71" s="413" t="s">
        <v>913</v>
      </c>
      <c r="H71" s="408" t="s">
        <v>914</v>
      </c>
      <c r="I71" s="408" t="s">
        <v>3112</v>
      </c>
    </row>
    <row r="72" spans="4:9" ht="15.75" customHeight="1">
      <c r="D72" s="407" t="str">
        <f t="shared" si="2"/>
        <v>Bilanzjahr:</v>
      </c>
      <c r="E72" s="408" t="s">
        <v>915</v>
      </c>
      <c r="F72" s="408" t="s">
        <v>916</v>
      </c>
      <c r="G72" s="413" t="s">
        <v>917</v>
      </c>
      <c r="H72" s="408" t="s">
        <v>918</v>
      </c>
      <c r="I72" s="408" t="s">
        <v>3113</v>
      </c>
    </row>
    <row r="73" spans="4:9" ht="15.75" customHeight="1">
      <c r="D73" s="407" t="str">
        <f t="shared" si="2"/>
        <v>ErstellerIn:</v>
      </c>
      <c r="E73" s="408" t="s">
        <v>919</v>
      </c>
      <c r="F73" s="408" t="s">
        <v>920</v>
      </c>
      <c r="G73" s="413" t="s">
        <v>921</v>
      </c>
      <c r="H73" s="408" t="s">
        <v>922</v>
      </c>
      <c r="I73" s="408" t="s">
        <v>3114</v>
      </c>
    </row>
    <row r="74" spans="4:9" ht="15.75" customHeight="1">
      <c r="D74" s="407" t="str">
        <f t="shared" si="2"/>
        <v>E-Mail-Adresse:</v>
      </c>
      <c r="E74" s="408" t="s">
        <v>923</v>
      </c>
      <c r="F74" s="408" t="s">
        <v>924</v>
      </c>
      <c r="G74" s="413" t="s">
        <v>925</v>
      </c>
      <c r="H74" s="408" t="s">
        <v>926</v>
      </c>
      <c r="I74" s="408" t="s">
        <v>3115</v>
      </c>
    </row>
    <row r="75" spans="4:9" ht="15.75" customHeight="1">
      <c r="D75" s="407" t="str">
        <f t="shared" si="2"/>
        <v>Telefonnummer:</v>
      </c>
      <c r="E75" s="408" t="s">
        <v>927</v>
      </c>
      <c r="F75" s="408" t="s">
        <v>928</v>
      </c>
      <c r="G75" s="413" t="s">
        <v>929</v>
      </c>
      <c r="H75" s="408" t="s">
        <v>930</v>
      </c>
      <c r="I75" s="408" t="s">
        <v>3116</v>
      </c>
    </row>
    <row r="76" spans="4:9" ht="15.75" customHeight="1">
      <c r="D76" s="407" t="str">
        <f t="shared" si="2"/>
        <v>BeraterIn:</v>
      </c>
      <c r="E76" s="408" t="s">
        <v>931</v>
      </c>
      <c r="F76" s="408" t="s">
        <v>932</v>
      </c>
      <c r="G76" s="413" t="s">
        <v>933</v>
      </c>
      <c r="H76" s="408" t="s">
        <v>934</v>
      </c>
      <c r="I76" s="408" t="s">
        <v>3117</v>
      </c>
    </row>
    <row r="77" spans="4:9" ht="15.75" customHeight="1">
      <c r="D77" s="407" t="str">
        <f t="shared" si="2"/>
        <v>E-Mail-Adresse:</v>
      </c>
      <c r="E77" s="408" t="s">
        <v>923</v>
      </c>
      <c r="F77" s="408" t="s">
        <v>924</v>
      </c>
      <c r="G77" s="413" t="s">
        <v>935</v>
      </c>
      <c r="H77" s="408" t="s">
        <v>926</v>
      </c>
      <c r="I77" s="408" t="s">
        <v>3115</v>
      </c>
    </row>
    <row r="78" spans="4:9" ht="15.75" customHeight="1">
      <c r="D78" s="407" t="str">
        <f t="shared" si="2"/>
        <v>Telefonnummer:</v>
      </c>
      <c r="E78" s="408" t="s">
        <v>927</v>
      </c>
      <c r="F78" s="408" t="s">
        <v>928</v>
      </c>
      <c r="G78" s="413" t="s">
        <v>936</v>
      </c>
      <c r="H78" s="408" t="s">
        <v>930</v>
      </c>
      <c r="I78" s="408" t="s">
        <v>3116</v>
      </c>
    </row>
    <row r="79" spans="4:9" ht="28.5" customHeight="1">
      <c r="D79" s="407" t="str">
        <f t="shared" si="2"/>
        <v>Kurzbeschreibung
des Unternehmens:</v>
      </c>
      <c r="E79" s="408" t="s">
        <v>937</v>
      </c>
      <c r="F79" s="408" t="s">
        <v>938</v>
      </c>
      <c r="G79" s="413" t="s">
        <v>939</v>
      </c>
      <c r="H79" s="408" t="s">
        <v>940</v>
      </c>
      <c r="I79" s="408" t="s">
        <v>3118</v>
      </c>
    </row>
    <row r="80" spans="4:9" ht="15.75" customHeight="1">
      <c r="D80" s="407" t="str">
        <f t="shared" si="2"/>
        <v>Sonstige Anmerkungen:</v>
      </c>
      <c r="E80" s="408" t="s">
        <v>941</v>
      </c>
      <c r="F80" s="408" t="s">
        <v>942</v>
      </c>
      <c r="G80" s="413" t="s">
        <v>943</v>
      </c>
      <c r="H80" s="408" t="s">
        <v>944</v>
      </c>
      <c r="I80" s="408" t="s">
        <v>3119</v>
      </c>
    </row>
    <row r="81" spans="4:9" ht="15.75" customHeight="1">
      <c r="D81" s="407" t="str">
        <f t="shared" si="2"/>
        <v>BERECHNUNG DER EINZELNEN THEMEN</v>
      </c>
      <c r="E81" s="412" t="s">
        <v>945</v>
      </c>
      <c r="F81" s="408" t="s">
        <v>946</v>
      </c>
      <c r="G81" s="413" t="s">
        <v>947</v>
      </c>
      <c r="H81" s="408" t="s">
        <v>948</v>
      </c>
      <c r="I81" s="408" t="s">
        <v>3120</v>
      </c>
    </row>
    <row r="82" spans="4:9" ht="15.75" customHeight="1">
      <c r="D82" s="407" t="str">
        <f t="shared" si="2"/>
        <v>Unternehmen</v>
      </c>
      <c r="E82" s="408" t="s">
        <v>949</v>
      </c>
      <c r="F82" s="408" t="s">
        <v>950</v>
      </c>
      <c r="G82" s="413" t="s">
        <v>951</v>
      </c>
      <c r="H82" s="408" t="s">
        <v>952</v>
      </c>
      <c r="I82" s="408" t="s">
        <v>3121</v>
      </c>
    </row>
    <row r="83" spans="4:9" ht="15.75" customHeight="1">
      <c r="D83" s="407" t="str">
        <f t="shared" si="2"/>
        <v>Bilanz-Jahr</v>
      </c>
      <c r="E83" s="408" t="s">
        <v>953</v>
      </c>
      <c r="F83" s="408" t="s">
        <v>954</v>
      </c>
      <c r="G83" s="413" t="s">
        <v>955</v>
      </c>
      <c r="H83" s="408" t="s">
        <v>918</v>
      </c>
      <c r="I83" s="408" t="s">
        <v>3122</v>
      </c>
    </row>
    <row r="84" spans="4:9" ht="15.75" customHeight="1">
      <c r="D84" s="407">
        <f t="shared" si="2"/>
        <v>0</v>
      </c>
      <c r="E84" s="408"/>
      <c r="G84" s="413"/>
      <c r="H84" s="408"/>
      <c r="I84" s="408">
        <v>0</v>
      </c>
    </row>
    <row r="85" spans="4:9" ht="15.75" customHeight="1">
      <c r="D85" s="407">
        <f t="shared" si="2"/>
        <v>0</v>
      </c>
      <c r="E85" s="408"/>
      <c r="G85" s="413"/>
      <c r="H85" s="408"/>
      <c r="I85" s="408">
        <v>0</v>
      </c>
    </row>
    <row r="86" spans="4:9" ht="15.75" customHeight="1">
      <c r="D86" s="407">
        <f t="shared" si="2"/>
        <v>0</v>
      </c>
      <c r="E86" s="408"/>
      <c r="G86" s="413"/>
      <c r="H86" s="408"/>
      <c r="I86" s="408">
        <v>0</v>
      </c>
    </row>
    <row r="87" spans="4:9" ht="15.75" customHeight="1">
      <c r="D87" s="407">
        <f t="shared" si="2"/>
        <v>0</v>
      </c>
      <c r="E87" s="408"/>
      <c r="G87" s="413"/>
      <c r="H87" s="408"/>
      <c r="I87" s="408">
        <v>0</v>
      </c>
    </row>
    <row r="88" spans="4:9" ht="15.75" customHeight="1">
      <c r="D88" s="407">
        <f t="shared" si="2"/>
        <v>0</v>
      </c>
      <c r="E88" s="408"/>
      <c r="G88" s="413"/>
      <c r="H88" s="408"/>
      <c r="I88" s="408">
        <v>0</v>
      </c>
    </row>
    <row r="89" spans="4:9" ht="15.75" customHeight="1">
      <c r="D89" s="407">
        <f t="shared" si="2"/>
        <v>0</v>
      </c>
      <c r="E89" s="408"/>
      <c r="G89" s="413"/>
      <c r="H89" s="408"/>
      <c r="I89" s="408">
        <v>0</v>
      </c>
    </row>
    <row r="90" spans="4:9" ht="15.75" customHeight="1">
      <c r="D90" s="407" t="str">
        <f t="shared" si="2"/>
        <v>BERECHNUNG DER EINZELNEN ASPEKTE</v>
      </c>
      <c r="E90" s="408" t="s">
        <v>956</v>
      </c>
      <c r="F90" s="408" t="s">
        <v>957</v>
      </c>
      <c r="G90" s="413" t="s">
        <v>958</v>
      </c>
      <c r="H90" s="408" t="s">
        <v>959</v>
      </c>
      <c r="I90" s="408" t="s">
        <v>3123</v>
      </c>
    </row>
    <row r="91" spans="4:9" ht="15.75" customHeight="1">
      <c r="D91" s="407" t="str">
        <f t="shared" si="2"/>
        <v>Gemeinwohl-Bilanz-Rechner</v>
      </c>
      <c r="E91" s="408" t="s">
        <v>960</v>
      </c>
      <c r="F91" s="414" t="s">
        <v>961</v>
      </c>
      <c r="G91" s="413" t="s">
        <v>962</v>
      </c>
      <c r="H91" s="408" t="s">
        <v>963</v>
      </c>
      <c r="I91" s="408" t="s">
        <v>3350</v>
      </c>
    </row>
    <row r="92" spans="4:9" ht="15.75" customHeight="1">
      <c r="D92" s="407" t="str">
        <f t="shared" si="2"/>
        <v>BILANZSUMME:</v>
      </c>
      <c r="E92" s="408" t="s">
        <v>964</v>
      </c>
      <c r="F92" s="408" t="s">
        <v>965</v>
      </c>
      <c r="G92" s="413" t="s">
        <v>966</v>
      </c>
      <c r="H92" s="408" t="s">
        <v>967</v>
      </c>
      <c r="I92" s="408" t="s">
        <v>3124</v>
      </c>
    </row>
    <row r="93" spans="4:9" ht="15.75" customHeight="1">
      <c r="D93" s="407" t="str">
        <f t="shared" si="2"/>
        <v>Nr.</v>
      </c>
      <c r="E93" s="408" t="s">
        <v>968</v>
      </c>
      <c r="F93" s="408" t="s">
        <v>969</v>
      </c>
      <c r="G93" s="413" t="s">
        <v>970</v>
      </c>
      <c r="H93" s="408" t="s">
        <v>971</v>
      </c>
      <c r="I93" s="408" t="s">
        <v>969</v>
      </c>
    </row>
    <row r="94" spans="4:9" ht="15.75" customHeight="1">
      <c r="D94" s="407" t="str">
        <f t="shared" si="2"/>
        <v>Berührungsgruppe</v>
      </c>
      <c r="E94" s="408" t="s">
        <v>972</v>
      </c>
      <c r="F94" s="408" t="s">
        <v>973</v>
      </c>
      <c r="G94" s="413" t="s">
        <v>974</v>
      </c>
      <c r="H94" s="408" t="s">
        <v>975</v>
      </c>
      <c r="I94" s="408" t="s">
        <v>3125</v>
      </c>
    </row>
    <row r="95" spans="4:9" ht="15.75" customHeight="1">
      <c r="D95" s="407" t="str">
        <f t="shared" si="2"/>
        <v>Berührungsgruppe/Themen/Aspekte</v>
      </c>
      <c r="E95" s="412" t="s">
        <v>976</v>
      </c>
      <c r="F95" s="408" t="s">
        <v>977</v>
      </c>
      <c r="G95" s="413" t="s">
        <v>978</v>
      </c>
      <c r="H95" s="408" t="s">
        <v>979</v>
      </c>
      <c r="I95" s="408" t="s">
        <v>3126</v>
      </c>
    </row>
    <row r="96" spans="4:9" ht="15.75" customHeight="1">
      <c r="D96" s="407" t="str">
        <f t="shared" si="2"/>
        <v>Gewichtung</v>
      </c>
      <c r="E96" s="408" t="s">
        <v>980</v>
      </c>
      <c r="F96" s="408" t="s">
        <v>981</v>
      </c>
      <c r="G96" s="413" t="s">
        <v>982</v>
      </c>
      <c r="H96" s="408" t="s">
        <v>983</v>
      </c>
      <c r="I96" s="408" t="s">
        <v>3127</v>
      </c>
    </row>
    <row r="97" spans="2:9" ht="15.75" customHeight="1">
      <c r="C97">
        <v>4</v>
      </c>
      <c r="D97" s="407" t="str">
        <f t="shared" si="2"/>
        <v>sehr hoch</v>
      </c>
      <c r="E97" s="408" t="s">
        <v>151</v>
      </c>
      <c r="F97" s="408" t="s">
        <v>984</v>
      </c>
      <c r="G97" s="413" t="s">
        <v>985</v>
      </c>
      <c r="H97" s="408" t="s">
        <v>986</v>
      </c>
      <c r="I97" s="408" t="s">
        <v>3128</v>
      </c>
    </row>
    <row r="98" spans="2:9" ht="15.75" customHeight="1">
      <c r="C98">
        <v>3</v>
      </c>
      <c r="D98" s="407" t="str">
        <f t="shared" si="2"/>
        <v>hoch</v>
      </c>
      <c r="E98" s="408" t="s">
        <v>150</v>
      </c>
      <c r="F98" s="408" t="s">
        <v>987</v>
      </c>
      <c r="G98" s="413" t="s">
        <v>988</v>
      </c>
      <c r="H98" s="408" t="s">
        <v>989</v>
      </c>
      <c r="I98" s="408" t="s">
        <v>3129</v>
      </c>
    </row>
    <row r="99" spans="2:9" ht="15.75" customHeight="1">
      <c r="C99">
        <v>2</v>
      </c>
      <c r="D99" s="407" t="str">
        <f t="shared" si="2"/>
        <v>mittel</v>
      </c>
      <c r="E99" s="408" t="s">
        <v>149</v>
      </c>
      <c r="F99" s="408" t="s">
        <v>990</v>
      </c>
      <c r="G99" s="413" t="s">
        <v>991</v>
      </c>
      <c r="H99" s="408" t="s">
        <v>992</v>
      </c>
      <c r="I99" s="408" t="s">
        <v>3130</v>
      </c>
    </row>
    <row r="100" spans="2:9" ht="15.75" customHeight="1">
      <c r="C100">
        <v>1</v>
      </c>
      <c r="D100" s="407" t="str">
        <f t="shared" si="2"/>
        <v>niedrig</v>
      </c>
      <c r="E100" s="408" t="s">
        <v>148</v>
      </c>
      <c r="F100" s="408" t="s">
        <v>993</v>
      </c>
      <c r="G100" s="413" t="s">
        <v>994</v>
      </c>
      <c r="H100" s="408" t="s">
        <v>995</v>
      </c>
      <c r="I100" s="408" t="s">
        <v>3131</v>
      </c>
    </row>
    <row r="101" spans="2:9" ht="15.75" customHeight="1">
      <c r="C101">
        <v>0</v>
      </c>
      <c r="D101" s="407" t="str">
        <f t="shared" si="2"/>
        <v>trifft nicht zu</v>
      </c>
      <c r="E101" s="408" t="s">
        <v>147</v>
      </c>
      <c r="F101" s="408" t="s">
        <v>996</v>
      </c>
      <c r="G101" s="413" t="s">
        <v>997</v>
      </c>
      <c r="H101" s="408" t="s">
        <v>998</v>
      </c>
      <c r="I101" s="408" t="s">
        <v>3132</v>
      </c>
    </row>
    <row r="102" spans="2:9" ht="15.75" customHeight="1">
      <c r="D102" s="407" t="str">
        <f t="shared" si="2"/>
        <v>Erläuterung</v>
      </c>
      <c r="E102" s="412" t="s">
        <v>999</v>
      </c>
      <c r="F102" s="408" t="s">
        <v>1000</v>
      </c>
      <c r="G102" s="413" t="s">
        <v>1001</v>
      </c>
      <c r="H102" s="408" t="s">
        <v>1002</v>
      </c>
      <c r="I102" s="408" t="s">
        <v>3133</v>
      </c>
    </row>
    <row r="103" spans="2:9" ht="15.75" customHeight="1">
      <c r="D103" s="407" t="str">
        <f t="shared" ref="D103:D166" si="3">HLOOKUP($C$1,$E$1:$V$4910,ROW(D103))</f>
        <v>Verbesserungspotenzial</v>
      </c>
      <c r="E103" s="408" t="s">
        <v>1003</v>
      </c>
      <c r="F103" s="408" t="s">
        <v>1004</v>
      </c>
      <c r="G103" s="413" t="s">
        <v>1005</v>
      </c>
      <c r="H103" s="408" t="s">
        <v>1006</v>
      </c>
      <c r="I103" s="408" t="s">
        <v>3134</v>
      </c>
    </row>
    <row r="104" spans="2:9" ht="15.75" customHeight="1">
      <c r="D104" s="407" t="str">
        <f t="shared" si="3"/>
        <v>Erfüll.</v>
      </c>
      <c r="E104" s="408" t="s">
        <v>1007</v>
      </c>
      <c r="F104" s="408" t="s">
        <v>1008</v>
      </c>
      <c r="G104" s="413" t="s">
        <v>1009</v>
      </c>
      <c r="H104" s="408" t="s">
        <v>1010</v>
      </c>
      <c r="I104" s="408" t="s">
        <v>3135</v>
      </c>
    </row>
    <row r="105" spans="2:9" ht="15.75" customHeight="1">
      <c r="D105" s="407" t="str">
        <f t="shared" si="3"/>
        <v>Pkte</v>
      </c>
      <c r="E105" s="408" t="s">
        <v>1011</v>
      </c>
      <c r="F105" s="408" t="s">
        <v>1012</v>
      </c>
      <c r="G105" s="413" t="s">
        <v>1013</v>
      </c>
      <c r="H105" s="408" t="s">
        <v>1014</v>
      </c>
      <c r="I105" s="408" t="s">
        <v>1013</v>
      </c>
    </row>
    <row r="106" spans="2:9" ht="15.75" customHeight="1">
      <c r="D106" s="407" t="str">
        <f t="shared" si="3"/>
        <v>Max.</v>
      </c>
      <c r="E106" s="408" t="s">
        <v>1015</v>
      </c>
      <c r="F106" s="408" t="s">
        <v>1015</v>
      </c>
      <c r="G106" s="413" t="s">
        <v>1015</v>
      </c>
      <c r="H106" s="408" t="s">
        <v>1015</v>
      </c>
      <c r="I106" s="408" t="s">
        <v>1015</v>
      </c>
    </row>
    <row r="107" spans="2:9" ht="15.75" customHeight="1">
      <c r="D107" s="407" t="str">
        <f t="shared" si="3"/>
        <v>Berührungsgruppe/Themen/Aspekte</v>
      </c>
      <c r="E107" s="408" t="s">
        <v>976</v>
      </c>
      <c r="F107" s="408" t="s">
        <v>1016</v>
      </c>
      <c r="G107" s="413" t="s">
        <v>1017</v>
      </c>
      <c r="H107" s="408" t="s">
        <v>979</v>
      </c>
      <c r="I107" s="408" t="s">
        <v>3136</v>
      </c>
    </row>
    <row r="108" spans="2:9" ht="15.75" customHeight="1">
      <c r="B108" s="424" t="str">
        <f>C108&amp;": "&amp;D108</f>
        <v>A: Lieferant*innen</v>
      </c>
      <c r="C108" s="55" t="s">
        <v>12</v>
      </c>
      <c r="D108" s="407" t="str">
        <f t="shared" si="3"/>
        <v>Lieferant*innen</v>
      </c>
      <c r="E108" s="425" t="s">
        <v>1018</v>
      </c>
      <c r="F108" s="426" t="s">
        <v>1019</v>
      </c>
      <c r="G108" s="413" t="s">
        <v>1020</v>
      </c>
      <c r="H108" s="408" t="s">
        <v>1021</v>
      </c>
      <c r="I108" s="408" t="s">
        <v>3137</v>
      </c>
    </row>
    <row r="109" spans="2:9" ht="28.5" customHeight="1">
      <c r="B109" s="405" t="str">
        <f>C109&amp;": "&amp;D109</f>
        <v>A1: Menschenwürde in der Zulieferkette</v>
      </c>
      <c r="C109" s="59" t="s">
        <v>13</v>
      </c>
      <c r="D109" s="407" t="str">
        <f t="shared" si="3"/>
        <v>Menschenwürde in der Zulieferkette</v>
      </c>
      <c r="E109" s="87" t="s">
        <v>1022</v>
      </c>
      <c r="F109" s="427" t="s">
        <v>1023</v>
      </c>
      <c r="G109" s="413" t="s">
        <v>1024</v>
      </c>
      <c r="H109" s="408" t="s">
        <v>1025</v>
      </c>
      <c r="I109" s="408" t="s">
        <v>3138</v>
      </c>
    </row>
    <row r="110" spans="2:9" ht="28.5" customHeight="1">
      <c r="C110" s="67" t="s">
        <v>14</v>
      </c>
      <c r="D110" s="407" t="str">
        <f t="shared" si="3"/>
        <v>Arbeitsbedingungen und gesellschaftliche Auswirkungen in der Zulieferkette</v>
      </c>
      <c r="E110" s="67" t="s">
        <v>1026</v>
      </c>
      <c r="F110" s="408" t="s">
        <v>1027</v>
      </c>
      <c r="G110" s="413" t="s">
        <v>1028</v>
      </c>
      <c r="H110" s="408" t="s">
        <v>1029</v>
      </c>
      <c r="I110" s="408" t="s">
        <v>3139</v>
      </c>
    </row>
    <row r="111" spans="2:9" ht="28.5" customHeight="1">
      <c r="C111" s="67" t="s">
        <v>15</v>
      </c>
      <c r="D111" s="407" t="str">
        <f t="shared" si="3"/>
        <v>Negativ-Aspekt: Verletzung der Menschenwürde in der Zulieferkette</v>
      </c>
      <c r="E111" s="67" t="s">
        <v>1030</v>
      </c>
      <c r="F111" s="413" t="s">
        <v>1031</v>
      </c>
      <c r="G111" s="413" t="s">
        <v>1032</v>
      </c>
      <c r="H111" s="408" t="s">
        <v>1033</v>
      </c>
      <c r="I111" s="408" t="s">
        <v>3140</v>
      </c>
    </row>
    <row r="112" spans="2:9" ht="28.5" customHeight="1">
      <c r="B112" s="405" t="str">
        <f>C112&amp;": "&amp;D112</f>
        <v>A2: Solidarität und Gerechtigkeit in der Zulieferkette</v>
      </c>
      <c r="C112" s="59" t="s">
        <v>16</v>
      </c>
      <c r="D112" s="407" t="str">
        <f t="shared" si="3"/>
        <v>Solidarität und Gerechtigkeit in der Zulieferkette</v>
      </c>
      <c r="E112" s="87" t="s">
        <v>1034</v>
      </c>
      <c r="F112" s="427" t="s">
        <v>1035</v>
      </c>
      <c r="G112" s="413" t="s">
        <v>1036</v>
      </c>
      <c r="H112" s="408" t="s">
        <v>1037</v>
      </c>
      <c r="I112" s="408" t="s">
        <v>3141</v>
      </c>
    </row>
    <row r="113" spans="2:10" ht="28.5" customHeight="1">
      <c r="C113" s="67" t="s">
        <v>17</v>
      </c>
      <c r="D113" s="407" t="str">
        <f t="shared" si="3"/>
        <v>Faire Geschäftsbeziehungen zu direkten Lieferant*innen</v>
      </c>
      <c r="E113" s="67" t="s">
        <v>1038</v>
      </c>
      <c r="F113" s="408" t="s">
        <v>1039</v>
      </c>
      <c r="G113" s="413" t="s">
        <v>1040</v>
      </c>
      <c r="H113" s="408" t="s">
        <v>1041</v>
      </c>
      <c r="I113" s="408" t="s">
        <v>3142</v>
      </c>
    </row>
    <row r="114" spans="2:10" ht="28.5" customHeight="1">
      <c r="C114" s="67" t="s">
        <v>18</v>
      </c>
      <c r="D114" s="407" t="str">
        <f t="shared" si="3"/>
        <v>Positive Einflussnahme auf Solidarität und Gerechtigkeit in der gesamten Zulieferkette</v>
      </c>
      <c r="E114" s="67" t="s">
        <v>1042</v>
      </c>
      <c r="F114" s="408" t="s">
        <v>1043</v>
      </c>
      <c r="G114" s="413" t="s">
        <v>1044</v>
      </c>
      <c r="H114" s="408" t="s">
        <v>1045</v>
      </c>
      <c r="I114" s="408" t="s">
        <v>3143</v>
      </c>
    </row>
    <row r="115" spans="2:10" ht="28.5" customHeight="1">
      <c r="C115" s="67" t="s">
        <v>19</v>
      </c>
      <c r="D115" s="407" t="str">
        <f t="shared" si="3"/>
        <v>Negativ-Aspekt: Ausnutzung der Marktmacht gegenüber Lieferant*innen</v>
      </c>
      <c r="E115" s="67" t="s">
        <v>1046</v>
      </c>
      <c r="F115" s="408" t="s">
        <v>1047</v>
      </c>
      <c r="G115" s="413" t="s">
        <v>1048</v>
      </c>
      <c r="H115" s="408" t="s">
        <v>1049</v>
      </c>
      <c r="I115" s="408" t="s">
        <v>3144</v>
      </c>
    </row>
    <row r="116" spans="2:10" ht="28.5" customHeight="1">
      <c r="B116" s="405" t="str">
        <f>C116&amp;": "&amp;D116</f>
        <v>A3: Ökologische Nachhaltigkeit in der Zulieferkette</v>
      </c>
      <c r="C116" s="59" t="s">
        <v>20</v>
      </c>
      <c r="D116" s="407" t="str">
        <f t="shared" si="3"/>
        <v>Ökologische Nachhaltigkeit in der Zulieferkette</v>
      </c>
      <c r="E116" s="87" t="s">
        <v>1050</v>
      </c>
      <c r="F116" s="427" t="s">
        <v>1051</v>
      </c>
      <c r="G116" s="413" t="s">
        <v>1052</v>
      </c>
      <c r="H116" s="408" t="s">
        <v>1053</v>
      </c>
      <c r="I116" s="408" t="s">
        <v>3145</v>
      </c>
    </row>
    <row r="117" spans="2:10" ht="28.5" customHeight="1">
      <c r="C117" s="67" t="s">
        <v>21</v>
      </c>
      <c r="D117" s="407" t="str">
        <f t="shared" si="3"/>
        <v>Umweltauswirkungen in der Zulieferkette</v>
      </c>
      <c r="E117" s="67" t="s">
        <v>1054</v>
      </c>
      <c r="F117" s="408" t="s">
        <v>1055</v>
      </c>
      <c r="G117" s="413" t="s">
        <v>1056</v>
      </c>
      <c r="H117" s="408" t="s">
        <v>1057</v>
      </c>
      <c r="I117" s="408" t="s">
        <v>3146</v>
      </c>
    </row>
    <row r="118" spans="2:10" ht="41.75" customHeight="1">
      <c r="C118" s="67" t="s">
        <v>22</v>
      </c>
      <c r="D118" s="407" t="str">
        <f t="shared" si="3"/>
        <v>Negativ-Aspekt:Unverhältnismäßig hohe Umweltauswirkungen in der Zulieferkette</v>
      </c>
      <c r="E118" s="67" t="s">
        <v>1058</v>
      </c>
      <c r="F118" s="408" t="s">
        <v>1059</v>
      </c>
      <c r="G118" s="413" t="s">
        <v>1060</v>
      </c>
      <c r="H118" s="408" t="s">
        <v>1061</v>
      </c>
      <c r="I118" s="408" t="s">
        <v>3147</v>
      </c>
    </row>
    <row r="119" spans="2:10" ht="41.75" customHeight="1">
      <c r="B119" s="405" t="str">
        <f>C119&amp;": "&amp;D119</f>
        <v>A4: Transparenz und Mitentscheidung in der Zulieferkette</v>
      </c>
      <c r="C119" s="59" t="s">
        <v>23</v>
      </c>
      <c r="D119" s="407" t="str">
        <f t="shared" si="3"/>
        <v>Transparenz und Mitentscheidung in der Zulieferkette</v>
      </c>
      <c r="E119" s="87" t="s">
        <v>1062</v>
      </c>
      <c r="F119" s="427" t="s">
        <v>1063</v>
      </c>
      <c r="G119" s="413" t="s">
        <v>1064</v>
      </c>
      <c r="H119" s="408" t="s">
        <v>1065</v>
      </c>
      <c r="I119" s="408" t="s">
        <v>3148</v>
      </c>
    </row>
    <row r="120" spans="2:10" ht="28.5" customHeight="1">
      <c r="C120" s="67" t="s">
        <v>24</v>
      </c>
      <c r="D120" s="407" t="str">
        <f t="shared" si="3"/>
        <v>Transparenz und Mitentscheidungsrechte für Lieferant*innen</v>
      </c>
      <c r="E120" s="67" t="s">
        <v>1066</v>
      </c>
      <c r="F120" s="408" t="s">
        <v>1067</v>
      </c>
      <c r="G120" s="413" t="s">
        <v>1068</v>
      </c>
      <c r="H120" s="408" t="s">
        <v>1069</v>
      </c>
      <c r="I120" s="408" t="s">
        <v>3149</v>
      </c>
    </row>
    <row r="121" spans="2:10" ht="38.75" customHeight="1">
      <c r="C121" s="67" t="s">
        <v>25</v>
      </c>
      <c r="D121" s="407" t="str">
        <f t="shared" si="3"/>
        <v>Positive Einflussnahme auf Transparenz und Mitentscheidung in der gesamten Zulieferkette</v>
      </c>
      <c r="E121" s="67" t="s">
        <v>1070</v>
      </c>
      <c r="F121" s="408" t="s">
        <v>1071</v>
      </c>
      <c r="G121" s="413" t="s">
        <v>1072</v>
      </c>
      <c r="H121" s="408" t="s">
        <v>1073</v>
      </c>
      <c r="I121" s="408" t="s">
        <v>3150</v>
      </c>
    </row>
    <row r="122" spans="2:10" ht="28.5" customHeight="1">
      <c r="B122" s="424" t="str">
        <f>C122&amp;": "&amp;D122</f>
        <v>B: Eigentümer*innen und Finanzpartner*innen</v>
      </c>
      <c r="C122" s="55" t="s">
        <v>26</v>
      </c>
      <c r="D122" s="407" t="str">
        <f t="shared" si="3"/>
        <v>Eigentümer*innen und Finanzpartner*innen</v>
      </c>
      <c r="E122" s="428" t="s">
        <v>1074</v>
      </c>
      <c r="F122" s="426" t="s">
        <v>1075</v>
      </c>
      <c r="G122" s="413" t="s">
        <v>1076</v>
      </c>
      <c r="H122" s="408" t="s">
        <v>1077</v>
      </c>
      <c r="I122" s="408" t="s">
        <v>3151</v>
      </c>
    </row>
    <row r="123" spans="2:10" ht="28.5" customHeight="1">
      <c r="B123" s="405" t="str">
        <f>C123&amp;": "&amp;D123</f>
        <v>B1: Ethische Haltung im Umgang mit Geldmitteln</v>
      </c>
      <c r="C123" s="59" t="s">
        <v>27</v>
      </c>
      <c r="D123" s="407" t="str">
        <f t="shared" si="3"/>
        <v>Ethische Haltung im Umgang mit Geldmitteln</v>
      </c>
      <c r="E123" s="87" t="s">
        <v>1078</v>
      </c>
      <c r="F123" s="427" t="s">
        <v>1079</v>
      </c>
      <c r="G123" s="413" t="s">
        <v>1080</v>
      </c>
      <c r="H123" s="408" t="s">
        <v>1081</v>
      </c>
      <c r="I123" s="408" t="s">
        <v>3152</v>
      </c>
      <c r="J123"/>
    </row>
    <row r="124" spans="2:10" ht="28.5" customHeight="1">
      <c r="C124" s="79" t="s">
        <v>28</v>
      </c>
      <c r="D124" s="407" t="str">
        <f t="shared" si="3"/>
        <v>Finanzielle Unabhängigkeit durch Eigenfinanzierung</v>
      </c>
      <c r="E124" s="67" t="s">
        <v>1082</v>
      </c>
      <c r="F124" s="408" t="s">
        <v>1083</v>
      </c>
      <c r="G124" s="413" t="s">
        <v>1084</v>
      </c>
      <c r="H124" s="408" t="s">
        <v>1085</v>
      </c>
      <c r="I124" s="408" t="s">
        <v>3153</v>
      </c>
      <c r="J124"/>
    </row>
    <row r="125" spans="2:10" ht="28.5" customHeight="1">
      <c r="C125" s="15" t="s">
        <v>29</v>
      </c>
      <c r="D125" s="407" t="str">
        <f t="shared" si="3"/>
        <v>Gemeinwohlorientierte Fremdfinanzierung</v>
      </c>
      <c r="E125" s="23" t="s">
        <v>1086</v>
      </c>
      <c r="F125" s="408" t="s">
        <v>1087</v>
      </c>
      <c r="G125" s="413" t="s">
        <v>1088</v>
      </c>
      <c r="H125" s="408" t="s">
        <v>1089</v>
      </c>
      <c r="I125" s="408" t="s">
        <v>3154</v>
      </c>
      <c r="J125"/>
    </row>
    <row r="126" spans="2:10" ht="28.5" customHeight="1">
      <c r="C126" s="15" t="s">
        <v>30</v>
      </c>
      <c r="D126" s="407" t="str">
        <f t="shared" si="3"/>
        <v>Ethische Haltung externer Finanzpartner*innen</v>
      </c>
      <c r="E126" s="23" t="s">
        <v>1090</v>
      </c>
      <c r="F126" s="408" t="s">
        <v>1091</v>
      </c>
      <c r="G126" s="413" t="s">
        <v>1092</v>
      </c>
      <c r="H126" s="408" t="s">
        <v>1093</v>
      </c>
      <c r="I126" s="408" t="s">
        <v>3155</v>
      </c>
      <c r="J126"/>
    </row>
    <row r="127" spans="2:10" ht="28.5" customHeight="1">
      <c r="B127" s="405" t="str">
        <f>C127&amp;": "&amp;D127</f>
        <v>B2: Soziale Haltung im Umgang mit Geldmitteln</v>
      </c>
      <c r="C127" s="59" t="s">
        <v>31</v>
      </c>
      <c r="D127" s="407" t="str">
        <f t="shared" si="3"/>
        <v>Soziale Haltung im Umgang mit Geldmitteln</v>
      </c>
      <c r="E127" s="87" t="s">
        <v>1094</v>
      </c>
      <c r="F127" s="427" t="s">
        <v>1095</v>
      </c>
      <c r="G127" s="413" t="s">
        <v>1096</v>
      </c>
      <c r="H127" s="408" t="s">
        <v>1097</v>
      </c>
      <c r="I127" s="408" t="s">
        <v>3156</v>
      </c>
      <c r="J127"/>
    </row>
    <row r="128" spans="2:10" ht="28.5" customHeight="1">
      <c r="C128" s="79" t="s">
        <v>32</v>
      </c>
      <c r="D128" s="407" t="str">
        <f t="shared" si="3"/>
        <v>Solidarische und gemeinwohlorientierte Mittelverwendung</v>
      </c>
      <c r="E128" s="67" t="s">
        <v>1098</v>
      </c>
      <c r="F128" s="408" t="s">
        <v>1099</v>
      </c>
      <c r="G128" s="413" t="s">
        <v>1100</v>
      </c>
      <c r="H128" s="408" t="s">
        <v>1101</v>
      </c>
      <c r="I128" s="408" t="s">
        <v>3157</v>
      </c>
      <c r="J128"/>
    </row>
    <row r="129" spans="2:10" ht="28.5" customHeight="1">
      <c r="C129" s="15" t="s">
        <v>33</v>
      </c>
      <c r="D129" s="407" t="str">
        <f t="shared" si="3"/>
        <v>Negativ-Aspekt: Unfaire Verteilung von Geldmittel</v>
      </c>
      <c r="E129" s="23" t="s">
        <v>1102</v>
      </c>
      <c r="F129" s="408" t="s">
        <v>1103</v>
      </c>
      <c r="G129" s="413" t="s">
        <v>1104</v>
      </c>
      <c r="H129" s="408" t="s">
        <v>1105</v>
      </c>
      <c r="I129" s="408" t="s">
        <v>3158</v>
      </c>
      <c r="J129"/>
    </row>
    <row r="130" spans="2:10" ht="28.5" customHeight="1">
      <c r="B130" s="405" t="str">
        <f>C130&amp;": "&amp;D130</f>
        <v>B3: Sozial-ökologische Investitionen und Mittelverwendung</v>
      </c>
      <c r="C130" s="59" t="s">
        <v>34</v>
      </c>
      <c r="D130" s="407" t="str">
        <f t="shared" si="3"/>
        <v>Sozial-ökologische Investitionen und Mittelverwendung</v>
      </c>
      <c r="E130" s="87" t="s">
        <v>1106</v>
      </c>
      <c r="F130" s="427" t="s">
        <v>1107</v>
      </c>
      <c r="G130" s="413" t="s">
        <v>1108</v>
      </c>
      <c r="H130" s="408" t="s">
        <v>1109</v>
      </c>
      <c r="I130" s="408" t="s">
        <v>3159</v>
      </c>
      <c r="J130"/>
    </row>
    <row r="131" spans="2:10" ht="15.75" customHeight="1">
      <c r="C131" s="79" t="s">
        <v>35</v>
      </c>
      <c r="D131" s="407" t="str">
        <f t="shared" si="3"/>
        <v>Ökologische Qualität der Investitionen</v>
      </c>
      <c r="E131" s="67" t="s">
        <v>1110</v>
      </c>
      <c r="F131" s="408" t="s">
        <v>1111</v>
      </c>
      <c r="G131" s="413" t="s">
        <v>1112</v>
      </c>
      <c r="H131" s="408" t="s">
        <v>1113</v>
      </c>
      <c r="I131" s="408" t="s">
        <v>3160</v>
      </c>
      <c r="J131"/>
    </row>
    <row r="132" spans="2:10" ht="15.75" customHeight="1">
      <c r="C132" s="15" t="s">
        <v>36</v>
      </c>
      <c r="D132" s="407" t="str">
        <f t="shared" si="3"/>
        <v>Gemeinwohlorientierte Veranlagung</v>
      </c>
      <c r="E132" s="23" t="s">
        <v>1114</v>
      </c>
      <c r="F132" s="408" t="s">
        <v>1115</v>
      </c>
      <c r="G132" s="413" t="s">
        <v>1116</v>
      </c>
      <c r="H132" s="408" t="s">
        <v>1117</v>
      </c>
      <c r="I132" s="408" t="s">
        <v>3161</v>
      </c>
      <c r="J132"/>
    </row>
    <row r="133" spans="2:10" ht="28.5" customHeight="1">
      <c r="C133" s="15" t="s">
        <v>37</v>
      </c>
      <c r="D133" s="407" t="str">
        <f t="shared" si="3"/>
        <v>Negativ-Aspekt: Abhängigkeit von ökologisch bedenklichen Ressourcen</v>
      </c>
      <c r="E133" s="23" t="s">
        <v>1118</v>
      </c>
      <c r="F133" s="408" t="s">
        <v>1119</v>
      </c>
      <c r="G133" s="413" t="s">
        <v>1120</v>
      </c>
      <c r="H133" s="408" t="s">
        <v>1121</v>
      </c>
      <c r="I133" s="408" t="s">
        <v>3162</v>
      </c>
      <c r="J133"/>
    </row>
    <row r="134" spans="2:10" ht="28.5" customHeight="1">
      <c r="B134" s="405" t="str">
        <f>C134&amp;": "&amp;D134</f>
        <v>B4: Eigentum und Mitentscheidung</v>
      </c>
      <c r="C134" s="59" t="s">
        <v>38</v>
      </c>
      <c r="D134" s="407" t="str">
        <f t="shared" si="3"/>
        <v>Eigentum und Mitentscheidung</v>
      </c>
      <c r="E134" s="87" t="s">
        <v>1122</v>
      </c>
      <c r="F134" s="427" t="s">
        <v>1123</v>
      </c>
      <c r="G134" s="413" t="s">
        <v>1124</v>
      </c>
      <c r="H134" s="408" t="s">
        <v>1125</v>
      </c>
      <c r="I134" s="408" t="s">
        <v>3163</v>
      </c>
      <c r="J134"/>
    </row>
    <row r="135" spans="2:10" ht="28.5" customHeight="1">
      <c r="C135" s="79" t="s">
        <v>39</v>
      </c>
      <c r="D135" s="407" t="str">
        <f t="shared" si="3"/>
        <v>Gemeinwohlorientierte Eigentumsstruktur</v>
      </c>
      <c r="E135" s="67" t="s">
        <v>1126</v>
      </c>
      <c r="F135" s="408" t="s">
        <v>1127</v>
      </c>
      <c r="G135" s="413" t="s">
        <v>1128</v>
      </c>
      <c r="H135" s="408" t="s">
        <v>1129</v>
      </c>
      <c r="I135" s="408" t="s">
        <v>3164</v>
      </c>
      <c r="J135"/>
    </row>
    <row r="136" spans="2:10" ht="28.5" customHeight="1">
      <c r="C136" s="15" t="s">
        <v>40</v>
      </c>
      <c r="D136" s="407" t="str">
        <f t="shared" si="3"/>
        <v>Negativ-Aspekt: Feindliche Übernahme</v>
      </c>
      <c r="E136" s="23" t="s">
        <v>1130</v>
      </c>
      <c r="F136" s="408" t="s">
        <v>1131</v>
      </c>
      <c r="G136" s="413" t="s">
        <v>1132</v>
      </c>
      <c r="H136" s="408" t="s">
        <v>1133</v>
      </c>
      <c r="I136" s="408" t="s">
        <v>3165</v>
      </c>
      <c r="J136"/>
    </row>
    <row r="137" spans="2:10" ht="15.75" customHeight="1">
      <c r="B137" s="424" t="str">
        <f>C137&amp;": "&amp;D137</f>
        <v>C: Mitarbeitende</v>
      </c>
      <c r="C137" s="55" t="s">
        <v>41</v>
      </c>
      <c r="D137" s="407" t="str">
        <f t="shared" si="3"/>
        <v>Mitarbeitende</v>
      </c>
      <c r="E137" s="428" t="s">
        <v>1134</v>
      </c>
      <c r="F137" s="426" t="s">
        <v>1135</v>
      </c>
      <c r="G137" s="413" t="s">
        <v>1136</v>
      </c>
      <c r="H137" s="408" t="s">
        <v>1137</v>
      </c>
      <c r="I137" s="408" t="s">
        <v>3166</v>
      </c>
    </row>
    <row r="138" spans="2:10" ht="28.5" customHeight="1">
      <c r="B138" s="405" t="str">
        <f>C138&amp;": "&amp;D138</f>
        <v>C1: Menschenwürde am Arbeitsplatz</v>
      </c>
      <c r="C138" s="59" t="s">
        <v>42</v>
      </c>
      <c r="D138" s="407" t="str">
        <f t="shared" si="3"/>
        <v>Menschenwürde am Arbeitsplatz</v>
      </c>
      <c r="E138" s="87" t="s">
        <v>1138</v>
      </c>
      <c r="F138" s="427" t="s">
        <v>1139</v>
      </c>
      <c r="G138" s="413" t="s">
        <v>1140</v>
      </c>
      <c r="H138" s="408" t="s">
        <v>1141</v>
      </c>
      <c r="I138" s="408" t="s">
        <v>3167</v>
      </c>
      <c r="J138"/>
    </row>
    <row r="139" spans="2:10" ht="28.5" customHeight="1">
      <c r="C139" s="67" t="s">
        <v>43</v>
      </c>
      <c r="D139" s="407" t="str">
        <f t="shared" si="3"/>
        <v>Mitarbeiterorientierte Unternehmenskultur</v>
      </c>
      <c r="E139" s="67" t="s">
        <v>1142</v>
      </c>
      <c r="F139" s="408" t="s">
        <v>1143</v>
      </c>
      <c r="G139" s="413" t="s">
        <v>1144</v>
      </c>
      <c r="H139" s="408" t="s">
        <v>1145</v>
      </c>
      <c r="I139" s="408" t="s">
        <v>3168</v>
      </c>
      <c r="J139"/>
    </row>
    <row r="140" spans="2:10" ht="28.5" customHeight="1">
      <c r="C140" s="23" t="s">
        <v>44</v>
      </c>
      <c r="D140" s="407" t="str">
        <f t="shared" si="3"/>
        <v>Gesundheitsförderung und Arbeitsschutz</v>
      </c>
      <c r="E140" s="23" t="s">
        <v>1146</v>
      </c>
      <c r="F140" s="408" t="s">
        <v>1147</v>
      </c>
      <c r="G140" s="413" t="s">
        <v>1148</v>
      </c>
      <c r="H140" s="408" t="s">
        <v>1149</v>
      </c>
      <c r="I140" s="408" t="s">
        <v>3169</v>
      </c>
      <c r="J140"/>
    </row>
    <row r="141" spans="2:10" ht="15.75" customHeight="1">
      <c r="C141" s="23" t="s">
        <v>45</v>
      </c>
      <c r="D141" s="407" t="str">
        <f t="shared" si="3"/>
        <v>Diversität und Chancengleichheit</v>
      </c>
      <c r="E141" s="23" t="s">
        <v>1150</v>
      </c>
      <c r="F141" s="408" t="s">
        <v>1151</v>
      </c>
      <c r="G141" s="413" t="s">
        <v>1152</v>
      </c>
      <c r="H141" s="408" t="s">
        <v>1153</v>
      </c>
      <c r="I141" s="408" t="s">
        <v>3170</v>
      </c>
      <c r="J141"/>
    </row>
    <row r="142" spans="2:10" ht="28.5" customHeight="1">
      <c r="C142" s="83" t="s">
        <v>46</v>
      </c>
      <c r="D142" s="407" t="str">
        <f t="shared" si="3"/>
        <v>Negativ-Aspekt: Menschenunwürdige Arbeitsbedingungen</v>
      </c>
      <c r="E142" s="83" t="s">
        <v>1154</v>
      </c>
      <c r="F142" s="408" t="s">
        <v>1155</v>
      </c>
      <c r="G142" s="413" t="s">
        <v>1156</v>
      </c>
      <c r="H142" s="408" t="s">
        <v>1157</v>
      </c>
      <c r="I142" s="408" t="s">
        <v>3171</v>
      </c>
      <c r="J142"/>
    </row>
    <row r="143" spans="2:10" ht="28.5" customHeight="1">
      <c r="B143" s="405" t="str">
        <f>C143&amp;": "&amp;D143</f>
        <v>C2: Ausgestaltung der Arbeitsverträge</v>
      </c>
      <c r="C143" s="59" t="s">
        <v>47</v>
      </c>
      <c r="D143" s="407" t="str">
        <f t="shared" si="3"/>
        <v>Ausgestaltung der Arbeitsverträge</v>
      </c>
      <c r="E143" s="87" t="s">
        <v>1158</v>
      </c>
      <c r="F143" s="427" t="s">
        <v>3029</v>
      </c>
      <c r="G143" s="413" t="s">
        <v>1159</v>
      </c>
      <c r="H143" s="408" t="s">
        <v>1160</v>
      </c>
      <c r="I143" s="408" t="s">
        <v>3172</v>
      </c>
      <c r="J143"/>
    </row>
    <row r="144" spans="2:10" ht="15.75" customHeight="1">
      <c r="C144" s="79" t="s">
        <v>48</v>
      </c>
      <c r="D144" s="407" t="str">
        <f t="shared" si="3"/>
        <v>Ausgestaltung des Verdienstes</v>
      </c>
      <c r="E144" s="67" t="s">
        <v>1161</v>
      </c>
      <c r="F144" s="408" t="s">
        <v>1162</v>
      </c>
      <c r="G144" s="413" t="s">
        <v>1163</v>
      </c>
      <c r="H144" s="408" t="s">
        <v>1164</v>
      </c>
      <c r="I144" s="408" t="s">
        <v>3173</v>
      </c>
      <c r="J144"/>
    </row>
    <row r="145" spans="2:10" ht="15.75" customHeight="1">
      <c r="C145" s="15" t="s">
        <v>49</v>
      </c>
      <c r="D145" s="407" t="str">
        <f t="shared" si="3"/>
        <v>Ausgestaltung der Arbeitszeit</v>
      </c>
      <c r="E145" s="23" t="s">
        <v>1165</v>
      </c>
      <c r="F145" s="408" t="s">
        <v>1166</v>
      </c>
      <c r="G145" s="413" t="s">
        <v>1167</v>
      </c>
      <c r="H145" s="408" t="s">
        <v>1168</v>
      </c>
      <c r="I145" s="408" t="s">
        <v>3174</v>
      </c>
      <c r="J145"/>
    </row>
    <row r="146" spans="2:10" ht="28.5" customHeight="1">
      <c r="C146" s="84" t="s">
        <v>50</v>
      </c>
      <c r="D146" s="407" t="str">
        <f t="shared" si="3"/>
        <v>Ausgestaltung des Arbeitsverhältnisses und Work-Life-Balance</v>
      </c>
      <c r="E146" s="83" t="s">
        <v>1169</v>
      </c>
      <c r="F146" s="408" t="s">
        <v>1170</v>
      </c>
      <c r="G146" s="413" t="s">
        <v>1171</v>
      </c>
      <c r="H146" s="408" t="s">
        <v>1172</v>
      </c>
      <c r="I146" s="408" t="s">
        <v>3175</v>
      </c>
      <c r="J146"/>
    </row>
    <row r="147" spans="2:10" ht="28.5" customHeight="1">
      <c r="C147" s="84" t="s">
        <v>51</v>
      </c>
      <c r="D147" s="407" t="str">
        <f t="shared" si="3"/>
        <v>Negativ-Aspekt: Ungerechte Ausgestaltung der Arbeitsverträge</v>
      </c>
      <c r="E147" s="83" t="s">
        <v>1173</v>
      </c>
      <c r="F147" s="408" t="s">
        <v>1174</v>
      </c>
      <c r="G147" s="413" t="s">
        <v>1175</v>
      </c>
      <c r="H147" s="408" t="s">
        <v>1176</v>
      </c>
      <c r="I147" s="408" t="s">
        <v>3176</v>
      </c>
      <c r="J147"/>
    </row>
    <row r="148" spans="2:10" ht="41.75" customHeight="1">
      <c r="B148" s="405" t="str">
        <f>C148&amp;": "&amp;D148</f>
        <v>C3: Förderung des ökologischen Verhaltens der Mitarbeitenden</v>
      </c>
      <c r="C148" s="59" t="s">
        <v>52</v>
      </c>
      <c r="D148" s="407" t="str">
        <f t="shared" si="3"/>
        <v>Förderung des ökologischen Verhaltens der Mitarbeitenden</v>
      </c>
      <c r="E148" s="87" t="s">
        <v>1177</v>
      </c>
      <c r="F148" s="427" t="s">
        <v>1178</v>
      </c>
      <c r="G148" s="413" t="s">
        <v>1179</v>
      </c>
      <c r="H148" s="408" t="s">
        <v>1180</v>
      </c>
      <c r="I148" s="408" t="s">
        <v>3177</v>
      </c>
      <c r="J148"/>
    </row>
    <row r="149" spans="2:10" ht="15.75" customHeight="1">
      <c r="C149" s="79" t="s">
        <v>53</v>
      </c>
      <c r="D149" s="407" t="str">
        <f t="shared" si="3"/>
        <v>Ernährung während der Arbeitszeit</v>
      </c>
      <c r="E149" s="67" t="s">
        <v>1181</v>
      </c>
      <c r="F149" s="408" t="s">
        <v>1182</v>
      </c>
      <c r="G149" s="413" t="s">
        <v>1183</v>
      </c>
      <c r="H149" s="408" t="s">
        <v>1184</v>
      </c>
      <c r="I149" s="408" t="s">
        <v>3178</v>
      </c>
      <c r="J149"/>
    </row>
    <row r="150" spans="2:10" ht="15.75" customHeight="1">
      <c r="C150" s="15" t="s">
        <v>54</v>
      </c>
      <c r="D150" s="407" t="str">
        <f t="shared" si="3"/>
        <v>Mobilität zum Arbeitsplatz</v>
      </c>
      <c r="E150" s="23" t="s">
        <v>1185</v>
      </c>
      <c r="F150" s="408" t="s">
        <v>1186</v>
      </c>
      <c r="G150" s="413" t="s">
        <v>1187</v>
      </c>
      <c r="H150" s="408" t="s">
        <v>1188</v>
      </c>
      <c r="I150" s="408" t="s">
        <v>3179</v>
      </c>
      <c r="J150"/>
    </row>
    <row r="151" spans="2:10" ht="28.5" customHeight="1">
      <c r="C151" s="84" t="s">
        <v>55</v>
      </c>
      <c r="D151" s="407" t="str">
        <f t="shared" si="3"/>
        <v>Organisationskultur, Sensibilisierung und unternehmensinterne Prozesse</v>
      </c>
      <c r="E151" s="83" t="s">
        <v>1189</v>
      </c>
      <c r="F151" s="408" t="s">
        <v>1190</v>
      </c>
      <c r="G151" s="413" t="s">
        <v>1191</v>
      </c>
      <c r="H151" s="408" t="s">
        <v>1192</v>
      </c>
      <c r="I151" s="408" t="s">
        <v>3180</v>
      </c>
      <c r="J151"/>
    </row>
    <row r="152" spans="2:10" ht="41.75" customHeight="1">
      <c r="C152" s="84" t="s">
        <v>56</v>
      </c>
      <c r="D152" s="407" t="str">
        <f t="shared" si="3"/>
        <v>Negativ-Aspekt: Anleitung zur Verschwendung / Duldung unökologischen Verhaltens</v>
      </c>
      <c r="E152" s="83" t="s">
        <v>1193</v>
      </c>
      <c r="F152" s="408" t="s">
        <v>1194</v>
      </c>
      <c r="G152" s="413" t="s">
        <v>1195</v>
      </c>
      <c r="H152" s="408" t="s">
        <v>1196</v>
      </c>
      <c r="I152" s="408" t="s">
        <v>3181</v>
      </c>
      <c r="J152"/>
    </row>
    <row r="153" spans="2:10" ht="41.75" customHeight="1">
      <c r="B153" s="405" t="str">
        <f>C153&amp;": "&amp;D153</f>
        <v>C4: Innerbetriebliche Mitentscheidung und Transparenz</v>
      </c>
      <c r="C153" s="59" t="s">
        <v>57</v>
      </c>
      <c r="D153" s="407" t="str">
        <f t="shared" si="3"/>
        <v>Innerbetriebliche Mitentscheidung und Transparenz</v>
      </c>
      <c r="E153" s="87" t="str">
        <f>"Innerbetriebliche Mitentscheidung und Transparenz"</f>
        <v>Innerbetriebliche Mitentscheidung und Transparenz</v>
      </c>
      <c r="F153" s="427" t="s">
        <v>1197</v>
      </c>
      <c r="G153" s="413" t="s">
        <v>1198</v>
      </c>
      <c r="H153" s="408" t="s">
        <v>1199</v>
      </c>
      <c r="I153" s="408" t="s">
        <v>3182</v>
      </c>
      <c r="J153"/>
    </row>
    <row r="154" spans="2:10" ht="15.75" customHeight="1">
      <c r="C154" s="79" t="s">
        <v>58</v>
      </c>
      <c r="D154" s="407" t="str">
        <f t="shared" si="3"/>
        <v>Innerbetriebliche Transparenz</v>
      </c>
      <c r="E154" s="67" t="s">
        <v>1200</v>
      </c>
      <c r="F154" s="408" t="s">
        <v>1201</v>
      </c>
      <c r="G154" s="413" t="s">
        <v>1202</v>
      </c>
      <c r="H154" s="408" t="s">
        <v>1203</v>
      </c>
      <c r="I154" s="408" t="s">
        <v>3183</v>
      </c>
      <c r="J154"/>
    </row>
    <row r="155" spans="2:10" ht="15.75" customHeight="1">
      <c r="C155" s="15" t="s">
        <v>59</v>
      </c>
      <c r="D155" s="407" t="str">
        <f t="shared" si="3"/>
        <v>Legitimierung der Führungskräfte</v>
      </c>
      <c r="E155" s="23" t="s">
        <v>1204</v>
      </c>
      <c r="F155" s="408" t="s">
        <v>1205</v>
      </c>
      <c r="G155" s="413" t="s">
        <v>1206</v>
      </c>
      <c r="H155" s="408" t="s">
        <v>1207</v>
      </c>
      <c r="I155" s="408" t="s">
        <v>3184</v>
      </c>
      <c r="J155"/>
    </row>
    <row r="156" spans="2:10" ht="28.5" customHeight="1">
      <c r="C156" s="15" t="s">
        <v>60</v>
      </c>
      <c r="D156" s="407" t="str">
        <f t="shared" si="3"/>
        <v>Mitentscheidung der Mitarbeitenden</v>
      </c>
      <c r="E156" s="23" t="s">
        <v>1208</v>
      </c>
      <c r="F156" s="408" t="s">
        <v>1209</v>
      </c>
      <c r="G156" s="413" t="s">
        <v>1210</v>
      </c>
      <c r="H156" s="408" t="s">
        <v>1211</v>
      </c>
      <c r="I156" s="408" t="s">
        <v>3185</v>
      </c>
      <c r="J156"/>
    </row>
    <row r="157" spans="2:10" ht="28.5" customHeight="1">
      <c r="C157" s="33" t="s">
        <v>61</v>
      </c>
      <c r="D157" s="407" t="str">
        <f t="shared" si="3"/>
        <v>Negativ-Aspekt C4.4: Verhinderung des Betriebsrates</v>
      </c>
      <c r="E157" s="85" t="s">
        <v>1212</v>
      </c>
      <c r="F157" s="408" t="s">
        <v>1213</v>
      </c>
      <c r="G157" s="413" t="s">
        <v>1214</v>
      </c>
      <c r="H157" s="408" t="s">
        <v>1215</v>
      </c>
      <c r="I157" s="408" t="s">
        <v>3186</v>
      </c>
      <c r="J157"/>
    </row>
    <row r="158" spans="2:10" ht="15.75" customHeight="1">
      <c r="B158" s="424" t="str">
        <f>C158&amp;": "&amp;D158</f>
        <v>D: Kund*nnen und Mitunternehmen</v>
      </c>
      <c r="C158" s="55" t="s">
        <v>62</v>
      </c>
      <c r="D158" s="407" t="str">
        <f t="shared" si="3"/>
        <v>Kund*nnen und Mitunternehmen</v>
      </c>
      <c r="E158" s="428" t="s">
        <v>1216</v>
      </c>
      <c r="F158" s="426" t="s">
        <v>1217</v>
      </c>
      <c r="G158" s="413" t="s">
        <v>1218</v>
      </c>
      <c r="H158" s="408" t="s">
        <v>1219</v>
      </c>
      <c r="I158" s="408" t="s">
        <v>3187</v>
      </c>
    </row>
    <row r="159" spans="2:10" ht="28.5" customHeight="1">
      <c r="B159" s="405" t="str">
        <f>C159&amp;": "&amp;D159</f>
        <v>D1: Ethische Kund*innenbeziehungen</v>
      </c>
      <c r="C159" s="59" t="s">
        <v>63</v>
      </c>
      <c r="D159" s="407" t="str">
        <f t="shared" si="3"/>
        <v>Ethische Kund*innenbeziehungen</v>
      </c>
      <c r="E159" s="87" t="s">
        <v>1220</v>
      </c>
      <c r="F159" s="427" t="s">
        <v>1221</v>
      </c>
      <c r="G159" s="413" t="s">
        <v>1222</v>
      </c>
      <c r="H159" s="408" t="s">
        <v>1223</v>
      </c>
      <c r="I159" s="408" t="s">
        <v>3188</v>
      </c>
      <c r="J159"/>
    </row>
    <row r="160" spans="2:10" ht="28.5" customHeight="1">
      <c r="C160" s="67" t="s">
        <v>64</v>
      </c>
      <c r="D160" s="407" t="str">
        <f t="shared" si="3"/>
        <v>Menschenwürdige Kommunikation mit Kund*innen</v>
      </c>
      <c r="E160" s="67" t="s">
        <v>1224</v>
      </c>
      <c r="F160" s="408" t="s">
        <v>1225</v>
      </c>
      <c r="G160" s="413" t="s">
        <v>1226</v>
      </c>
      <c r="H160" s="408" t="s">
        <v>1227</v>
      </c>
      <c r="I160" s="408" t="s">
        <v>3189</v>
      </c>
      <c r="J160"/>
    </row>
    <row r="161" spans="2:10" ht="15.75" customHeight="1">
      <c r="C161" s="15" t="s">
        <v>65</v>
      </c>
      <c r="D161" s="407" t="str">
        <f t="shared" si="3"/>
        <v>Barrierefreiheit</v>
      </c>
      <c r="E161" s="67" t="s">
        <v>1228</v>
      </c>
      <c r="F161" s="408" t="s">
        <v>1229</v>
      </c>
      <c r="G161" s="413" t="s">
        <v>1230</v>
      </c>
      <c r="H161" s="408" t="s">
        <v>1231</v>
      </c>
      <c r="I161" s="408" t="s">
        <v>3190</v>
      </c>
      <c r="J161"/>
    </row>
    <row r="162" spans="2:10" ht="28.5" customHeight="1">
      <c r="C162" s="23" t="s">
        <v>66</v>
      </c>
      <c r="D162" s="407" t="str">
        <f t="shared" si="3"/>
        <v>Negativ-Aspekt: Unethische Werbemaßnahmen</v>
      </c>
      <c r="E162" s="67" t="s">
        <v>1232</v>
      </c>
      <c r="F162" s="408" t="s">
        <v>1233</v>
      </c>
      <c r="G162" s="413" t="s">
        <v>1234</v>
      </c>
      <c r="H162" s="408" t="s">
        <v>1235</v>
      </c>
      <c r="I162" s="408" t="s">
        <v>3191</v>
      </c>
      <c r="J162"/>
    </row>
    <row r="163" spans="2:10" ht="28.5" customHeight="1">
      <c r="B163" s="405" t="str">
        <f>C163&amp;": "&amp;D163</f>
        <v>D2: Kooperation und Solidarität mit Mitunternehmen</v>
      </c>
      <c r="C163" s="59" t="s">
        <v>67</v>
      </c>
      <c r="D163" s="407" t="str">
        <f t="shared" si="3"/>
        <v>Kooperation und Solidarität mit Mitunternehmen</v>
      </c>
      <c r="E163" s="87" t="s">
        <v>1236</v>
      </c>
      <c r="F163" s="427" t="s">
        <v>1237</v>
      </c>
      <c r="G163" s="413" t="s">
        <v>1238</v>
      </c>
      <c r="H163" s="408" t="s">
        <v>1239</v>
      </c>
      <c r="I163" s="408" t="s">
        <v>3192</v>
      </c>
      <c r="J163"/>
    </row>
    <row r="164" spans="2:10" ht="15.75" customHeight="1">
      <c r="C164" s="67" t="s">
        <v>68</v>
      </c>
      <c r="D164" s="407" t="str">
        <f t="shared" si="3"/>
        <v>Kooperation mit Mitunternehmen</v>
      </c>
      <c r="E164" s="67" t="s">
        <v>1240</v>
      </c>
      <c r="F164" s="408" t="s">
        <v>1241</v>
      </c>
      <c r="G164" s="413" t="s">
        <v>1242</v>
      </c>
      <c r="H164" s="408" t="s">
        <v>1243</v>
      </c>
      <c r="I164" s="408" t="s">
        <v>3193</v>
      </c>
      <c r="J164"/>
    </row>
    <row r="165" spans="2:10" ht="15.75" customHeight="1">
      <c r="C165" s="23" t="s">
        <v>69</v>
      </c>
      <c r="D165" s="407" t="str">
        <f t="shared" si="3"/>
        <v>Solidarität mit Mitunternehmen</v>
      </c>
      <c r="E165" s="67" t="s">
        <v>1244</v>
      </c>
      <c r="F165" s="408" t="s">
        <v>1245</v>
      </c>
      <c r="G165" s="413" t="s">
        <v>1246</v>
      </c>
      <c r="H165" s="408" t="s">
        <v>1247</v>
      </c>
      <c r="I165" s="408" t="s">
        <v>3194</v>
      </c>
      <c r="J165"/>
    </row>
    <row r="166" spans="2:10" ht="28.5" customHeight="1">
      <c r="C166" s="83" t="s">
        <v>70</v>
      </c>
      <c r="D166" s="407" t="str">
        <f t="shared" si="3"/>
        <v>Negativ-Aspekt D2.3: Missbrauch der Marktmacht gegenüber Mitunternehmen</v>
      </c>
      <c r="E166" s="85" t="s">
        <v>1248</v>
      </c>
      <c r="F166" s="408" t="s">
        <v>1249</v>
      </c>
      <c r="G166" s="413" t="s">
        <v>1250</v>
      </c>
      <c r="H166" s="408" t="s">
        <v>1251</v>
      </c>
      <c r="I166" s="408" t="s">
        <v>3195</v>
      </c>
      <c r="J166"/>
    </row>
    <row r="167" spans="2:10" ht="41.75" customHeight="1">
      <c r="B167" s="405" t="str">
        <f>C167&amp;": "&amp;D167</f>
        <v>D3: Ökologische Auswirkung durch Nutzung und Entsorgung von Produkten und Dienstleistungen</v>
      </c>
      <c r="C167" s="59" t="s">
        <v>71</v>
      </c>
      <c r="D167" s="407" t="str">
        <f t="shared" ref="D167:D230" si="4">HLOOKUP($C$1,$E$1:$V$4910,ROW(D167))</f>
        <v>Ökologische Auswirkung durch Nutzung und Entsorgung von Produkten und Dienstleistungen</v>
      </c>
      <c r="E167" s="87" t="s">
        <v>1252</v>
      </c>
      <c r="F167" s="427" t="s">
        <v>1253</v>
      </c>
      <c r="G167" s="413" t="s">
        <v>1254</v>
      </c>
      <c r="H167" s="408" t="s">
        <v>1255</v>
      </c>
      <c r="I167" s="408" t="s">
        <v>3196</v>
      </c>
      <c r="J167"/>
    </row>
    <row r="168" spans="2:10" ht="41.75" customHeight="1">
      <c r="C168" s="67" t="s">
        <v>72</v>
      </c>
      <c r="D168" s="407" t="str">
        <f t="shared" si="4"/>
        <v>Ökologisches Kosten-Nutzen-Verhältnis von Produkten und Dienstleistungen (Effizienz und Konsistenz)</v>
      </c>
      <c r="E168" s="67" t="s">
        <v>1256</v>
      </c>
      <c r="F168" s="408" t="s">
        <v>1257</v>
      </c>
      <c r="G168" s="413" t="s">
        <v>1258</v>
      </c>
      <c r="H168" s="408" t="s">
        <v>1259</v>
      </c>
      <c r="I168" s="408" t="s">
        <v>3197</v>
      </c>
      <c r="J168"/>
    </row>
    <row r="169" spans="2:10" ht="28.5" customHeight="1">
      <c r="C169" s="23" t="s">
        <v>73</v>
      </c>
      <c r="D169" s="407" t="str">
        <f t="shared" si="4"/>
        <v>Maßvolle Nutzung von Produkten und Dienstleistungen (Suffizienz)</v>
      </c>
      <c r="E169" s="67" t="s">
        <v>1260</v>
      </c>
      <c r="F169" s="408" t="s">
        <v>1261</v>
      </c>
      <c r="G169" s="413" t="s">
        <v>1262</v>
      </c>
      <c r="H169" s="408" t="s">
        <v>1263</v>
      </c>
      <c r="I169" s="408" t="s">
        <v>3198</v>
      </c>
      <c r="J169"/>
    </row>
    <row r="170" spans="2:10" ht="38.75" customHeight="1">
      <c r="C170" s="83" t="s">
        <v>74</v>
      </c>
      <c r="D170" s="407" t="str">
        <f t="shared" si="4"/>
        <v>Negativ-Aspekt: Bewusste Inkaufnahme unverhältnismäßiger, ökologischer Auswirkungen</v>
      </c>
      <c r="E170" s="85" t="s">
        <v>1264</v>
      </c>
      <c r="F170" s="408" t="s">
        <v>1265</v>
      </c>
      <c r="G170" s="413" t="s">
        <v>1266</v>
      </c>
      <c r="H170" s="408" t="s">
        <v>1267</v>
      </c>
      <c r="I170" s="408" t="s">
        <v>3199</v>
      </c>
      <c r="J170"/>
    </row>
    <row r="171" spans="2:10" ht="28.5" customHeight="1">
      <c r="B171" s="405" t="str">
        <f>C171&amp;": "&amp;D171</f>
        <v>D4: Kund*innen-Mitwirkung und Produkttransparenz</v>
      </c>
      <c r="C171" s="59" t="s">
        <v>75</v>
      </c>
      <c r="D171" s="407" t="str">
        <f t="shared" si="4"/>
        <v>Kund*innen-Mitwirkung und Produkttransparenz</v>
      </c>
      <c r="E171" s="87" t="s">
        <v>1268</v>
      </c>
      <c r="F171" s="427" t="s">
        <v>1269</v>
      </c>
      <c r="G171" s="413" t="s">
        <v>1270</v>
      </c>
      <c r="H171" s="408" t="s">
        <v>1271</v>
      </c>
      <c r="I171" s="408" t="s">
        <v>3200</v>
      </c>
      <c r="J171"/>
    </row>
    <row r="172" spans="2:10" ht="28.5" customHeight="1">
      <c r="C172" s="67" t="s">
        <v>76</v>
      </c>
      <c r="D172" s="407" t="str">
        <f t="shared" si="4"/>
        <v>Kund*innen-Mitwirkung, gemeinsame Produktentwicklung und Marktforschung</v>
      </c>
      <c r="E172" s="67" t="s">
        <v>1272</v>
      </c>
      <c r="F172" s="408" t="s">
        <v>1273</v>
      </c>
      <c r="G172" s="413" t="s">
        <v>1274</v>
      </c>
      <c r="H172" s="408" t="s">
        <v>1275</v>
      </c>
      <c r="I172" s="408" t="s">
        <v>3201</v>
      </c>
      <c r="J172"/>
    </row>
    <row r="173" spans="2:10" ht="15.75" customHeight="1">
      <c r="C173" s="83" t="s">
        <v>77</v>
      </c>
      <c r="D173" s="407" t="str">
        <f t="shared" si="4"/>
        <v>Produkttransparenz</v>
      </c>
      <c r="E173" s="85" t="s">
        <v>1276</v>
      </c>
      <c r="F173" s="408" t="s">
        <v>1277</v>
      </c>
      <c r="G173" s="413" t="s">
        <v>1278</v>
      </c>
      <c r="H173" s="408" t="s">
        <v>1279</v>
      </c>
      <c r="I173" s="408" t="s">
        <v>3202</v>
      </c>
      <c r="J173"/>
    </row>
    <row r="174" spans="2:10" ht="28.5" customHeight="1">
      <c r="C174" s="83" t="s">
        <v>77</v>
      </c>
      <c r="D174" s="407" t="str">
        <f t="shared" si="4"/>
        <v>Negativ-Aspekt: Kein Ausweis von Gefahrenstoffen</v>
      </c>
      <c r="E174" s="83" t="s">
        <v>1280</v>
      </c>
      <c r="F174" s="408" t="s">
        <v>1281</v>
      </c>
      <c r="G174" s="413" t="s">
        <v>1282</v>
      </c>
      <c r="H174" s="408" t="s">
        <v>1283</v>
      </c>
      <c r="I174" s="408" t="s">
        <v>3203</v>
      </c>
      <c r="J174"/>
    </row>
    <row r="175" spans="2:10" ht="15.75" customHeight="1">
      <c r="B175" s="424" t="str">
        <f>C175&amp;": "&amp;D175</f>
        <v>E: Gesellschaftliches Umfeld</v>
      </c>
      <c r="C175" s="55" t="s">
        <v>78</v>
      </c>
      <c r="D175" s="407" t="str">
        <f t="shared" si="4"/>
        <v>Gesellschaftliches Umfeld</v>
      </c>
      <c r="E175" s="428" t="s">
        <v>1284</v>
      </c>
      <c r="F175" s="426" t="s">
        <v>1285</v>
      </c>
      <c r="G175" s="413" t="s">
        <v>1286</v>
      </c>
      <c r="H175" s="408" t="s">
        <v>1287</v>
      </c>
      <c r="I175" s="408" t="s">
        <v>3204</v>
      </c>
    </row>
    <row r="176" spans="2:10" ht="28.5" customHeight="1">
      <c r="B176" s="405" t="str">
        <f>C176&amp;": "&amp;D176</f>
        <v>E1: Sinn und gesellschaftliche Wirkung der Produkte und Dienstleistungen</v>
      </c>
      <c r="C176" s="59" t="s">
        <v>79</v>
      </c>
      <c r="D176" s="407" t="str">
        <f t="shared" si="4"/>
        <v>Sinn und gesellschaftliche Wirkung der Produkte und Dienstleistungen</v>
      </c>
      <c r="E176" s="87" t="s">
        <v>1288</v>
      </c>
      <c r="F176" s="427" t="s">
        <v>1289</v>
      </c>
      <c r="G176" s="413" t="s">
        <v>1290</v>
      </c>
      <c r="H176" s="408" t="s">
        <v>1291</v>
      </c>
      <c r="I176" s="408" t="s">
        <v>3205</v>
      </c>
    </row>
    <row r="177" spans="2:9" ht="28.5" customHeight="1">
      <c r="C177" s="67" t="s">
        <v>80</v>
      </c>
      <c r="D177" s="407" t="str">
        <f t="shared" si="4"/>
        <v>Produkte und Dienstleistungen decken den Grundbedarf und dienen dem guten Leben</v>
      </c>
      <c r="E177" s="67" t="s">
        <v>1292</v>
      </c>
      <c r="F177" s="408" t="s">
        <v>1293</v>
      </c>
      <c r="G177" s="413" t="s">
        <v>1294</v>
      </c>
      <c r="H177" s="408" t="s">
        <v>1295</v>
      </c>
      <c r="I177" s="408" t="s">
        <v>3206</v>
      </c>
    </row>
    <row r="178" spans="2:9" ht="28.5" customHeight="1">
      <c r="C178" s="83" t="s">
        <v>81</v>
      </c>
      <c r="D178" s="407" t="str">
        <f t="shared" si="4"/>
        <v>Gesellschaftliche Wirkung der Produkte und Dienstleistungen</v>
      </c>
      <c r="E178" s="83" t="s">
        <v>1296</v>
      </c>
      <c r="F178" s="408" t="s">
        <v>1297</v>
      </c>
      <c r="G178" s="413" t="s">
        <v>1298</v>
      </c>
      <c r="H178" s="408" t="s">
        <v>1299</v>
      </c>
      <c r="I178" s="408" t="s">
        <v>3207</v>
      </c>
    </row>
    <row r="179" spans="2:9" ht="28.5" customHeight="1">
      <c r="C179" s="83" t="s">
        <v>82</v>
      </c>
      <c r="D179" s="407" t="str">
        <f t="shared" si="4"/>
        <v>Negativ-Aspekt: Menschenunwürdige Produkte und Dienstleistungen</v>
      </c>
      <c r="E179" s="83" t="s">
        <v>1300</v>
      </c>
      <c r="F179" s="408" t="s">
        <v>1301</v>
      </c>
      <c r="G179" s="413" t="s">
        <v>1302</v>
      </c>
      <c r="H179" s="408" t="s">
        <v>1303</v>
      </c>
      <c r="I179" s="408" t="s">
        <v>3208</v>
      </c>
    </row>
    <row r="180" spans="2:9" ht="28.5" customHeight="1">
      <c r="B180" s="405" t="str">
        <f>C180&amp;": "&amp;D180</f>
        <v>E2: Beitrag zum Gemeinwesen</v>
      </c>
      <c r="C180" s="59" t="s">
        <v>83</v>
      </c>
      <c r="D180" s="407" t="str">
        <f t="shared" si="4"/>
        <v>Beitrag zum Gemeinwesen</v>
      </c>
      <c r="E180" s="87" t="s">
        <v>1304</v>
      </c>
      <c r="F180" s="427" t="s">
        <v>1305</v>
      </c>
      <c r="G180" s="413" t="s">
        <v>1306</v>
      </c>
      <c r="H180" s="408" t="s">
        <v>1307</v>
      </c>
      <c r="I180" s="408" t="s">
        <v>3209</v>
      </c>
    </row>
    <row r="181" spans="2:9" ht="15.75" customHeight="1">
      <c r="C181" s="79" t="s">
        <v>84</v>
      </c>
      <c r="D181" s="407" t="str">
        <f t="shared" si="4"/>
        <v>Steuern und Sozialabgaben</v>
      </c>
      <c r="E181" s="67" t="s">
        <v>1308</v>
      </c>
      <c r="F181" s="408" t="s">
        <v>1309</v>
      </c>
      <c r="G181" s="413" t="s">
        <v>1310</v>
      </c>
      <c r="H181" s="408" t="s">
        <v>1311</v>
      </c>
      <c r="I181" s="408" t="s">
        <v>3210</v>
      </c>
    </row>
    <row r="182" spans="2:9" ht="28.5" customHeight="1">
      <c r="C182" s="15" t="s">
        <v>85</v>
      </c>
      <c r="D182" s="407" t="str">
        <f t="shared" si="4"/>
        <v>Freiwillige Beiträge zur Stärkung des Gemeinwesens</v>
      </c>
      <c r="E182" s="23" t="s">
        <v>1312</v>
      </c>
      <c r="F182" s="408" t="s">
        <v>1313</v>
      </c>
      <c r="G182" s="413" t="s">
        <v>1314</v>
      </c>
      <c r="H182" s="408" t="s">
        <v>1315</v>
      </c>
      <c r="I182" s="408" t="s">
        <v>3211</v>
      </c>
    </row>
    <row r="183" spans="2:9" ht="15.75" customHeight="1">
      <c r="C183" s="84" t="s">
        <v>86</v>
      </c>
      <c r="D183" s="429" t="str">
        <f t="shared" si="4"/>
        <v>Negativ-Aspekt: Illegitime Steuervermeidung</v>
      </c>
      <c r="E183" s="83" t="s">
        <v>1316</v>
      </c>
      <c r="F183" s="408" t="s">
        <v>1317</v>
      </c>
      <c r="G183" s="413" t="s">
        <v>1318</v>
      </c>
      <c r="H183" s="408" t="s">
        <v>1319</v>
      </c>
      <c r="I183" s="408" t="s">
        <v>3212</v>
      </c>
    </row>
    <row r="184" spans="2:9" ht="28.5" customHeight="1">
      <c r="C184" s="84" t="s">
        <v>87</v>
      </c>
      <c r="D184" s="407" t="str">
        <f t="shared" si="4"/>
        <v>Negativ-Aspekt: Mangelnde Korruptionsprävention</v>
      </c>
      <c r="E184" s="83" t="s">
        <v>1320</v>
      </c>
      <c r="F184" s="408" t="s">
        <v>1321</v>
      </c>
      <c r="G184" s="413" t="s">
        <v>1322</v>
      </c>
      <c r="H184" s="408" t="s">
        <v>1323</v>
      </c>
      <c r="I184" s="408" t="s">
        <v>3213</v>
      </c>
    </row>
    <row r="185" spans="2:9" ht="28.5" customHeight="1">
      <c r="B185" s="405" t="str">
        <f>C185&amp;": "&amp;D185</f>
        <v>E3: Reduktion ökologischer Auswirkungen</v>
      </c>
      <c r="C185" s="59" t="s">
        <v>88</v>
      </c>
      <c r="D185" s="407" t="str">
        <f t="shared" si="4"/>
        <v>Reduktion ökologischer Auswirkungen</v>
      </c>
      <c r="E185" s="87" t="s">
        <v>1324</v>
      </c>
      <c r="F185" s="427" t="s">
        <v>1325</v>
      </c>
      <c r="G185" s="413" t="s">
        <v>1326</v>
      </c>
      <c r="H185" s="408" t="s">
        <v>1327</v>
      </c>
      <c r="I185" s="408" t="s">
        <v>3214</v>
      </c>
    </row>
    <row r="186" spans="2:9" ht="28.5" customHeight="1">
      <c r="C186" s="79" t="s">
        <v>89</v>
      </c>
      <c r="D186" s="407" t="str">
        <f t="shared" si="4"/>
        <v>Absolute Auswirkungen / Management &amp; Strategie</v>
      </c>
      <c r="E186" s="67" t="s">
        <v>1328</v>
      </c>
      <c r="F186" s="408" t="s">
        <v>1329</v>
      </c>
      <c r="G186" s="413" t="s">
        <v>1330</v>
      </c>
      <c r="H186" s="408" t="s">
        <v>1331</v>
      </c>
      <c r="I186" s="408" t="s">
        <v>3215</v>
      </c>
    </row>
    <row r="187" spans="2:9" ht="15.75" customHeight="1">
      <c r="C187" s="15" t="s">
        <v>90</v>
      </c>
      <c r="D187" s="429" t="str">
        <f t="shared" si="4"/>
        <v>Relative Auswirkungen</v>
      </c>
      <c r="E187" s="23" t="s">
        <v>1332</v>
      </c>
      <c r="F187" s="408" t="s">
        <v>1333</v>
      </c>
      <c r="G187" s="413" t="s">
        <v>1334</v>
      </c>
      <c r="H187" s="408" t="s">
        <v>1335</v>
      </c>
      <c r="I187" s="408" t="s">
        <v>3216</v>
      </c>
    </row>
    <row r="188" spans="2:9" ht="41.75" customHeight="1">
      <c r="C188" s="84" t="s">
        <v>91</v>
      </c>
      <c r="D188" s="407" t="str">
        <f t="shared" si="4"/>
        <v>Negativ-Aspekt: Verstöße gegen Umweltauflagen sowie unangemessene Umweltbelastungen</v>
      </c>
      <c r="E188" s="83" t="s">
        <v>1336</v>
      </c>
      <c r="F188" s="408" t="s">
        <v>1337</v>
      </c>
      <c r="G188" s="413" t="s">
        <v>1338</v>
      </c>
      <c r="H188" s="408" t="s">
        <v>1339</v>
      </c>
      <c r="I188" s="408" t="s">
        <v>3217</v>
      </c>
    </row>
    <row r="189" spans="2:9" ht="28.5" customHeight="1">
      <c r="B189" s="405" t="str">
        <f>C189&amp;": "&amp;D189</f>
        <v>E4: Transparenz und gesellschaftliche Mitentscheidung</v>
      </c>
      <c r="C189" s="59" t="s">
        <v>92</v>
      </c>
      <c r="D189" s="407" t="str">
        <f t="shared" si="4"/>
        <v>Transparenz und gesellschaftliche Mitentscheidung</v>
      </c>
      <c r="E189" s="87" t="s">
        <v>1340</v>
      </c>
      <c r="F189" s="427" t="s">
        <v>1341</v>
      </c>
      <c r="G189" s="413" t="s">
        <v>1342</v>
      </c>
      <c r="H189" s="408" t="s">
        <v>1343</v>
      </c>
      <c r="I189" s="408" t="s">
        <v>3218</v>
      </c>
    </row>
    <row r="190" spans="2:9" ht="15.75" customHeight="1">
      <c r="C190" s="79" t="s">
        <v>93</v>
      </c>
      <c r="D190" s="407" t="str">
        <f t="shared" si="4"/>
        <v>Transparenz</v>
      </c>
      <c r="E190" s="67" t="s">
        <v>1344</v>
      </c>
      <c r="F190" s="408" t="s">
        <v>1345</v>
      </c>
      <c r="G190" s="413" t="s">
        <v>1346</v>
      </c>
      <c r="H190" s="408" t="s">
        <v>1347</v>
      </c>
      <c r="I190" s="408" t="s">
        <v>3219</v>
      </c>
    </row>
    <row r="191" spans="2:9" ht="28.5" customHeight="1">
      <c r="C191" s="79" t="s">
        <v>94</v>
      </c>
      <c r="D191" s="429" t="str">
        <f t="shared" si="4"/>
        <v>Gesellschaftliche Mitbestimmung</v>
      </c>
      <c r="E191" s="67" t="s">
        <v>1348</v>
      </c>
      <c r="F191" s="408" t="s">
        <v>1349</v>
      </c>
      <c r="G191" s="413" t="s">
        <v>1350</v>
      </c>
      <c r="H191" s="408" t="s">
        <v>1351</v>
      </c>
      <c r="I191" s="408" t="s">
        <v>3220</v>
      </c>
    </row>
    <row r="192" spans="2:9" ht="28.5" customHeight="1">
      <c r="C192" s="79" t="s">
        <v>95</v>
      </c>
      <c r="D192" s="407" t="str">
        <f t="shared" si="4"/>
        <v>Negativ-Aspekt: Förderung von Intransparenz und bewusste Fehlinformation</v>
      </c>
      <c r="E192" s="67" t="s">
        <v>1352</v>
      </c>
      <c r="F192" s="408" t="s">
        <v>1353</v>
      </c>
      <c r="G192" s="413" t="s">
        <v>1354</v>
      </c>
      <c r="H192" s="408" t="s">
        <v>1355</v>
      </c>
      <c r="I192" s="408" t="s">
        <v>3221</v>
      </c>
    </row>
    <row r="193" spans="4:9" ht="15.75" customHeight="1">
      <c r="D193" s="407">
        <f t="shared" si="4"/>
        <v>0</v>
      </c>
      <c r="E193" s="408"/>
      <c r="G193" s="413"/>
      <c r="H193" s="408"/>
      <c r="I193" s="408">
        <v>0</v>
      </c>
    </row>
    <row r="194" spans="4:9" ht="15.75" customHeight="1">
      <c r="D194" s="407" t="str">
        <f t="shared" si="4"/>
        <v>Fakten zum Unternehmen</v>
      </c>
      <c r="E194" s="408" t="s">
        <v>1356</v>
      </c>
      <c r="F194" s="408" t="s">
        <v>1357</v>
      </c>
      <c r="G194" s="413" t="s">
        <v>1358</v>
      </c>
      <c r="H194" s="408" t="s">
        <v>1359</v>
      </c>
      <c r="I194" s="408" t="s">
        <v>3222</v>
      </c>
    </row>
    <row r="195" spans="4:9" ht="121.5" customHeight="1">
      <c r="D195" s="407" t="str">
        <f t="shared" si="4"/>
        <v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E195" s="412" t="s">
        <v>1360</v>
      </c>
      <c r="F195" s="408" t="s">
        <v>1361</v>
      </c>
      <c r="G195" s="413" t="s">
        <v>1362</v>
      </c>
      <c r="H195" s="408" t="s">
        <v>1363</v>
      </c>
      <c r="I195" s="408" t="s">
        <v>3223</v>
      </c>
    </row>
    <row r="196" spans="4:9" ht="15.75" customHeight="1">
      <c r="D196" s="407">
        <f t="shared" si="4"/>
        <v>0</v>
      </c>
      <c r="E196" s="408"/>
      <c r="G196" s="413"/>
      <c r="H196" s="408"/>
      <c r="I196" s="408">
        <v>0</v>
      </c>
    </row>
    <row r="197" spans="4:9" ht="15.75" customHeight="1">
      <c r="D197" s="407">
        <f t="shared" si="4"/>
        <v>0</v>
      </c>
      <c r="E197" s="408"/>
      <c r="G197" s="413"/>
      <c r="H197" s="408"/>
      <c r="I197" s="408">
        <v>0</v>
      </c>
    </row>
    <row r="198" spans="4:9" ht="15.75" customHeight="1">
      <c r="D198" s="407">
        <f t="shared" si="4"/>
        <v>0</v>
      </c>
      <c r="E198" s="408"/>
      <c r="G198" s="413"/>
      <c r="H198" s="408"/>
      <c r="I198" s="408">
        <v>0</v>
      </c>
    </row>
    <row r="199" spans="4:9" ht="15.75" customHeight="1">
      <c r="D199" s="407">
        <f t="shared" si="4"/>
        <v>0</v>
      </c>
      <c r="E199" s="408"/>
      <c r="G199" s="413"/>
      <c r="H199" s="408"/>
      <c r="I199" s="408">
        <v>0</v>
      </c>
    </row>
    <row r="200" spans="4:9" ht="15.75" customHeight="1">
      <c r="D200" s="407">
        <f t="shared" si="4"/>
        <v>0</v>
      </c>
      <c r="E200" s="408"/>
      <c r="G200" s="413"/>
      <c r="H200" s="408"/>
      <c r="I200" s="408">
        <v>0</v>
      </c>
    </row>
    <row r="201" spans="4:9" ht="15.75" customHeight="1">
      <c r="D201" s="407">
        <f t="shared" si="4"/>
        <v>0</v>
      </c>
      <c r="E201" s="408"/>
      <c r="G201" s="413"/>
      <c r="H201" s="408"/>
      <c r="I201" s="408">
        <v>0</v>
      </c>
    </row>
    <row r="202" spans="4:9" ht="15.75" customHeight="1">
      <c r="D202" s="407" t="str">
        <f t="shared" si="4"/>
        <v>bitte einfügen</v>
      </c>
      <c r="E202" s="408" t="s">
        <v>1364</v>
      </c>
      <c r="F202" s="408" t="s">
        <v>1365</v>
      </c>
      <c r="G202" s="413" t="s">
        <v>1366</v>
      </c>
      <c r="H202" s="408" t="s">
        <v>1367</v>
      </c>
      <c r="I202" s="408" t="s">
        <v>3224</v>
      </c>
    </row>
    <row r="203" spans="4:9" ht="15.75" customHeight="1">
      <c r="D203" s="407" t="str">
        <f t="shared" si="4"/>
        <v>Bitte Auswählen</v>
      </c>
      <c r="E203" s="408" t="s">
        <v>1368</v>
      </c>
      <c r="F203" s="408" t="s">
        <v>1369</v>
      </c>
      <c r="G203" s="413" t="s">
        <v>1370</v>
      </c>
      <c r="H203" s="408" t="s">
        <v>1371</v>
      </c>
      <c r="I203" s="408" t="s">
        <v>3225</v>
      </c>
    </row>
    <row r="204" spans="4:9" ht="15.75" customHeight="1">
      <c r="D204" s="407" t="str">
        <f t="shared" si="4"/>
        <v>Beschreibung des Gewichtungsmodelles</v>
      </c>
      <c r="E204" s="408" t="s">
        <v>1372</v>
      </c>
      <c r="F204" s="408" t="s">
        <v>1373</v>
      </c>
      <c r="G204" s="413" t="s">
        <v>1374</v>
      </c>
      <c r="H204" s="408" t="s">
        <v>1375</v>
      </c>
      <c r="I204" s="408" t="s">
        <v>3226</v>
      </c>
    </row>
    <row r="205" spans="4:9" ht="15.75" customHeight="1">
      <c r="D205" s="407" t="str">
        <f t="shared" si="4"/>
        <v>Themen</v>
      </c>
      <c r="E205" s="408" t="s">
        <v>1376</v>
      </c>
      <c r="F205" s="408" t="s">
        <v>1377</v>
      </c>
      <c r="G205" s="413" t="s">
        <v>1378</v>
      </c>
      <c r="H205" s="408" t="s">
        <v>1379</v>
      </c>
      <c r="I205" s="408" t="s">
        <v>3227</v>
      </c>
    </row>
    <row r="206" spans="4:9" ht="28.5" customHeight="1">
      <c r="D206" s="407" t="str">
        <f t="shared" si="4"/>
        <v>Werte ►
Berührungsgruppe ▼</v>
      </c>
      <c r="E206" s="430" t="s">
        <v>1380</v>
      </c>
      <c r="F206" s="430" t="s">
        <v>1381</v>
      </c>
      <c r="G206" s="430" t="s">
        <v>1382</v>
      </c>
      <c r="H206" s="408" t="s">
        <v>1383</v>
      </c>
      <c r="I206" s="408" t="s">
        <v>3351</v>
      </c>
    </row>
    <row r="207" spans="4:9" ht="15.75" customHeight="1">
      <c r="D207" s="407" t="str">
        <f t="shared" si="4"/>
        <v>Berührungsgruppen &amp; Werte</v>
      </c>
      <c r="E207" s="408" t="s">
        <v>1384</v>
      </c>
      <c r="F207" s="430" t="s">
        <v>1385</v>
      </c>
      <c r="G207" s="431" t="s">
        <v>1386</v>
      </c>
      <c r="H207" s="408" t="s">
        <v>1387</v>
      </c>
      <c r="I207" s="408" t="s">
        <v>3228</v>
      </c>
    </row>
    <row r="208" spans="4:9" ht="15.75" customHeight="1">
      <c r="D208" s="407" t="str">
        <f t="shared" si="4"/>
        <v>Allgemein</v>
      </c>
      <c r="E208" s="408" t="s">
        <v>1388</v>
      </c>
      <c r="F208" s="408" t="s">
        <v>1389</v>
      </c>
      <c r="G208" s="413" t="s">
        <v>1390</v>
      </c>
      <c r="H208" s="408" t="s">
        <v>1390</v>
      </c>
      <c r="I208" s="408" t="s">
        <v>3229</v>
      </c>
    </row>
    <row r="209" spans="4:9" ht="15.75" customHeight="1">
      <c r="D209" s="407" t="str">
        <f t="shared" si="4"/>
        <v>Anmerkungen</v>
      </c>
      <c r="E209" s="408" t="s">
        <v>1391</v>
      </c>
      <c r="F209" s="408" t="s">
        <v>1392</v>
      </c>
      <c r="G209" s="413" t="s">
        <v>1393</v>
      </c>
      <c r="H209" s="408" t="s">
        <v>1394</v>
      </c>
      <c r="I209" s="408" t="s">
        <v>1393</v>
      </c>
    </row>
    <row r="210" spans="4:9" ht="15.75" customHeight="1">
      <c r="D210" s="407" t="str">
        <f t="shared" si="4"/>
        <v xml:space="preserve"> (für EPUs skaliert)</v>
      </c>
      <c r="E210" s="408" t="s">
        <v>1395</v>
      </c>
      <c r="F210" s="408" t="s">
        <v>1396</v>
      </c>
      <c r="G210" s="413" t="s">
        <v>1397</v>
      </c>
      <c r="H210" s="408" t="s">
        <v>1398</v>
      </c>
      <c r="I210" s="408" t="s">
        <v>3230</v>
      </c>
    </row>
    <row r="211" spans="4:9" ht="15.75" customHeight="1">
      <c r="D211" s="407" t="str">
        <f t="shared" si="4"/>
        <v xml:space="preserve"> (für EPUs nicht relevant)</v>
      </c>
      <c r="E211" s="408" t="s">
        <v>1399</v>
      </c>
      <c r="F211" s="408" t="s">
        <v>1400</v>
      </c>
      <c r="G211" s="413" t="s">
        <v>1401</v>
      </c>
      <c r="H211" s="408" t="s">
        <v>1402</v>
      </c>
      <c r="I211" s="408" t="s">
        <v>3231</v>
      </c>
    </row>
    <row r="212" spans="4:9" ht="15.75" customHeight="1">
      <c r="D212" s="407" t="str">
        <f t="shared" si="4"/>
        <v>Anmerkung: Dies ist kein Testat.</v>
      </c>
      <c r="E212" s="408" t="s">
        <v>1403</v>
      </c>
      <c r="F212" s="408" t="s">
        <v>1404</v>
      </c>
      <c r="G212" s="413" t="s">
        <v>3063</v>
      </c>
      <c r="H212" s="408" t="s">
        <v>3062</v>
      </c>
      <c r="I212" s="408" t="s">
        <v>3232</v>
      </c>
    </row>
    <row r="213" spans="4:9" ht="15.75" customHeight="1">
      <c r="D213" s="407" t="str">
        <f t="shared" si="4"/>
        <v>GEMEINWOHL-MATRIX</v>
      </c>
      <c r="E213" s="408" t="s">
        <v>1405</v>
      </c>
      <c r="F213" s="408" t="s">
        <v>1406</v>
      </c>
      <c r="G213" s="413" t="s">
        <v>1407</v>
      </c>
      <c r="H213" s="408" t="s">
        <v>1408</v>
      </c>
      <c r="I213" s="408" t="s">
        <v>3352</v>
      </c>
    </row>
    <row r="214" spans="4:9" ht="15.75" customHeight="1">
      <c r="D214" s="407" t="str">
        <f t="shared" si="4"/>
        <v xml:space="preserve"> von </v>
      </c>
      <c r="E214" s="408" t="s">
        <v>1409</v>
      </c>
      <c r="F214" s="408" t="s">
        <v>1410</v>
      </c>
      <c r="G214" s="413" t="s">
        <v>1411</v>
      </c>
      <c r="H214" s="408" t="s">
        <v>1412</v>
      </c>
      <c r="I214" s="408" t="s">
        <v>1412</v>
      </c>
    </row>
    <row r="215" spans="4:9" ht="15.75" customHeight="1">
      <c r="D215" s="407" t="str">
        <f t="shared" si="4"/>
        <v xml:space="preserve"> Punkten</v>
      </c>
      <c r="E215" s="408" t="s">
        <v>1413</v>
      </c>
      <c r="F215" s="408" t="s">
        <v>1414</v>
      </c>
      <c r="G215" s="413" t="s">
        <v>1415</v>
      </c>
      <c r="H215" s="408" t="s">
        <v>3042</v>
      </c>
      <c r="I215" s="408" t="s">
        <v>3233</v>
      </c>
    </row>
    <row r="216" spans="4:9" ht="15.75" customHeight="1">
      <c r="D216" s="407" t="str">
        <f t="shared" si="4"/>
        <v>Menschenwürde</v>
      </c>
      <c r="E216" s="408" t="s">
        <v>1416</v>
      </c>
      <c r="F216" s="408" t="s">
        <v>1417</v>
      </c>
      <c r="G216" s="413" t="s">
        <v>1418</v>
      </c>
      <c r="H216" s="408" t="s">
        <v>1419</v>
      </c>
      <c r="I216" s="408" t="s">
        <v>3234</v>
      </c>
    </row>
    <row r="217" spans="4:9" ht="15.75" customHeight="1">
      <c r="D217" s="407" t="str">
        <f t="shared" si="4"/>
        <v>Solidarität &amp; Gerechtigkeit</v>
      </c>
      <c r="E217" s="408" t="s">
        <v>1420</v>
      </c>
      <c r="F217" s="408" t="s">
        <v>1421</v>
      </c>
      <c r="G217" s="413" t="s">
        <v>1422</v>
      </c>
      <c r="H217" s="408" t="s">
        <v>1423</v>
      </c>
      <c r="I217" s="408" t="s">
        <v>3235</v>
      </c>
    </row>
    <row r="218" spans="4:9" ht="15.75" customHeight="1">
      <c r="D218" s="407" t="str">
        <f t="shared" si="4"/>
        <v>Ökologische Nachhaltigkeit</v>
      </c>
      <c r="E218" s="408" t="s">
        <v>1424</v>
      </c>
      <c r="F218" s="408" t="s">
        <v>1425</v>
      </c>
      <c r="G218" s="413" t="s">
        <v>1426</v>
      </c>
      <c r="H218" s="408" t="s">
        <v>1427</v>
      </c>
      <c r="I218" s="408" t="s">
        <v>3236</v>
      </c>
    </row>
    <row r="219" spans="4:9" ht="15.75" customHeight="1">
      <c r="D219" s="407" t="str">
        <f t="shared" si="4"/>
        <v>Transparenz &amp; Mitentscheidung</v>
      </c>
      <c r="E219" s="408" t="s">
        <v>1428</v>
      </c>
      <c r="F219" s="408" t="s">
        <v>1429</v>
      </c>
      <c r="G219" s="413" t="s">
        <v>1430</v>
      </c>
      <c r="H219" s="408" t="s">
        <v>1431</v>
      </c>
      <c r="I219" s="408" t="s">
        <v>3237</v>
      </c>
    </row>
    <row r="220" spans="4:9" ht="15.75" customHeight="1">
      <c r="D220" s="407" t="str">
        <f t="shared" si="4"/>
        <v>Gemeinwohl-Stern für</v>
      </c>
      <c r="E220" s="408" t="s">
        <v>1432</v>
      </c>
      <c r="F220" s="408" t="s">
        <v>1433</v>
      </c>
      <c r="G220" s="413" t="s">
        <v>1434</v>
      </c>
      <c r="H220" s="408" t="s">
        <v>1435</v>
      </c>
      <c r="I220" s="408" t="s">
        <v>3353</v>
      </c>
    </row>
    <row r="221" spans="4:9" ht="15.75" customHeight="1">
      <c r="D221" s="407" t="str">
        <f t="shared" si="4"/>
        <v>BILANZ-ÜBERSICHT</v>
      </c>
      <c r="E221" s="408" t="s">
        <v>1436</v>
      </c>
      <c r="F221" s="408" t="s">
        <v>1437</v>
      </c>
      <c r="G221" s="413" t="s">
        <v>1438</v>
      </c>
      <c r="H221" s="408" t="s">
        <v>1439</v>
      </c>
      <c r="I221" s="408" t="s">
        <v>3238</v>
      </c>
    </row>
    <row r="222" spans="4:9" ht="15.75" customHeight="1">
      <c r="D222" s="407" t="str">
        <f t="shared" si="4"/>
        <v>MITBESTIMMUNG UND TRANSPARENZ</v>
      </c>
      <c r="E222" s="408" t="s">
        <v>1440</v>
      </c>
      <c r="F222" s="408" t="s">
        <v>1441</v>
      </c>
      <c r="G222" s="413" t="s">
        <v>1442</v>
      </c>
      <c r="H222" s="408" t="s">
        <v>1443</v>
      </c>
      <c r="I222" s="408" t="s">
        <v>3239</v>
      </c>
    </row>
    <row r="223" spans="4:9" ht="15.75" customHeight="1">
      <c r="D223" s="407" t="str">
        <f t="shared" si="4"/>
        <v>MENSCHENWÜRDE</v>
      </c>
      <c r="E223" s="408" t="s">
        <v>1444</v>
      </c>
      <c r="F223" s="408" t="s">
        <v>1445</v>
      </c>
      <c r="G223" s="413" t="s">
        <v>1446</v>
      </c>
      <c r="H223" s="408" t="s">
        <v>1447</v>
      </c>
      <c r="I223" s="408" t="s">
        <v>3240</v>
      </c>
    </row>
    <row r="224" spans="4:9" ht="15.75" customHeight="1">
      <c r="D224" s="407" t="str">
        <f t="shared" si="4"/>
        <v>SOLIDARITÄT</v>
      </c>
      <c r="E224" s="408" t="s">
        <v>1448</v>
      </c>
      <c r="F224" s="408" t="s">
        <v>1449</v>
      </c>
      <c r="G224" s="413" t="s">
        <v>1450</v>
      </c>
      <c r="H224" s="408" t="s">
        <v>1451</v>
      </c>
      <c r="I224" s="408" t="s">
        <v>3241</v>
      </c>
    </row>
    <row r="225" spans="3:9" ht="15.75" customHeight="1">
      <c r="D225" s="407" t="str">
        <f t="shared" si="4"/>
        <v>ÖKOLOGISCHE NACHHALTIGKEIT</v>
      </c>
      <c r="E225" s="408" t="s">
        <v>1452</v>
      </c>
      <c r="F225" s="408" t="s">
        <v>1453</v>
      </c>
      <c r="G225" s="413" t="s">
        <v>1454</v>
      </c>
      <c r="H225" s="408" t="s">
        <v>1455</v>
      </c>
      <c r="I225" s="408" t="s">
        <v>3242</v>
      </c>
    </row>
    <row r="226" spans="3:9" ht="15.75" customHeight="1">
      <c r="D226" s="407" t="str">
        <f t="shared" si="4"/>
        <v>SOZIALE GERECHTIGKEIT</v>
      </c>
      <c r="E226" s="408" t="s">
        <v>1456</v>
      </c>
      <c r="F226" s="408" t="s">
        <v>1457</v>
      </c>
      <c r="G226" s="413" t="s">
        <v>1458</v>
      </c>
      <c r="H226" s="408" t="s">
        <v>1459</v>
      </c>
      <c r="I226" s="408" t="s">
        <v>3243</v>
      </c>
    </row>
    <row r="227" spans="3:9" ht="15.75" customHeight="1">
      <c r="D227" s="407" t="str">
        <f t="shared" si="4"/>
        <v>MITBESTIMMUNG UND TRANSPARENZ</v>
      </c>
      <c r="E227" s="408" t="s">
        <v>1440</v>
      </c>
      <c r="F227" s="408" t="s">
        <v>1441</v>
      </c>
      <c r="G227" s="413" t="s">
        <v>1442</v>
      </c>
      <c r="H227" s="408" t="s">
        <v>1443</v>
      </c>
      <c r="I227" s="408" t="s">
        <v>3239</v>
      </c>
    </row>
    <row r="228" spans="3:9" ht="15.75" customHeight="1">
      <c r="D228" s="407" t="str">
        <f t="shared" si="4"/>
        <v>SUMME</v>
      </c>
      <c r="E228" s="408" t="s">
        <v>1460</v>
      </c>
      <c r="F228" s="408" t="s">
        <v>1461</v>
      </c>
      <c r="G228" s="413" t="s">
        <v>1462</v>
      </c>
      <c r="H228" s="408" t="s">
        <v>1462</v>
      </c>
      <c r="I228" s="408" t="s">
        <v>1462</v>
      </c>
    </row>
    <row r="229" spans="3:9" ht="15.75" customHeight="1">
      <c r="D229" s="407" t="str">
        <f t="shared" si="4"/>
        <v>(für EPUs skaliert)</v>
      </c>
      <c r="E229" s="408" t="s">
        <v>1463</v>
      </c>
      <c r="F229" s="408" t="s">
        <v>1464</v>
      </c>
      <c r="G229" s="413" t="s">
        <v>1465</v>
      </c>
      <c r="H229" s="408" t="s">
        <v>1398</v>
      </c>
      <c r="I229" s="408" t="s">
        <v>3230</v>
      </c>
    </row>
    <row r="230" spans="3:9" ht="15.75" customHeight="1">
      <c r="D230" s="407" t="str">
        <f t="shared" si="4"/>
        <v>Dokumentation der Bewertung</v>
      </c>
      <c r="E230" s="408" t="s">
        <v>1466</v>
      </c>
      <c r="F230" s="408" t="s">
        <v>1467</v>
      </c>
      <c r="G230" s="413" t="s">
        <v>1468</v>
      </c>
      <c r="H230" s="408" t="s">
        <v>1469</v>
      </c>
      <c r="I230" s="408" t="s">
        <v>3244</v>
      </c>
    </row>
    <row r="231" spans="3:9" ht="15.75" customHeight="1">
      <c r="D231" s="407" t="str">
        <f t="shared" ref="D231:D294" si="5">HLOOKUP($C$1,$E$1:$V$4910,ROW(D231))</f>
        <v>Selbsteinschätzung</v>
      </c>
      <c r="E231" s="408" t="s">
        <v>1470</v>
      </c>
      <c r="F231" s="408" t="s">
        <v>1471</v>
      </c>
      <c r="G231" s="413" t="s">
        <v>1472</v>
      </c>
      <c r="H231" s="408" t="s">
        <v>1473</v>
      </c>
      <c r="I231" s="408" t="s">
        <v>3245</v>
      </c>
    </row>
    <row r="232" spans="3:9" ht="15.75" customHeight="1">
      <c r="D232" s="407" t="str">
        <f t="shared" si="5"/>
        <v>Peer-Evaluation</v>
      </c>
      <c r="E232" s="432" t="s">
        <v>1474</v>
      </c>
      <c r="F232" s="432" t="s">
        <v>1475</v>
      </c>
      <c r="G232" s="433" t="s">
        <v>1476</v>
      </c>
      <c r="H232" s="408" t="s">
        <v>1477</v>
      </c>
      <c r="I232" s="408" t="s">
        <v>3246</v>
      </c>
    </row>
    <row r="233" spans="3:9" ht="15.75" customHeight="1">
      <c r="D233" s="407" t="str">
        <f t="shared" si="5"/>
        <v>Provisorische Bewertung des externen Audits</v>
      </c>
      <c r="E233" s="432" t="s">
        <v>1478</v>
      </c>
      <c r="F233" s="432" t="s">
        <v>1479</v>
      </c>
      <c r="G233" s="433" t="s">
        <v>1480</v>
      </c>
      <c r="H233" s="408" t="s">
        <v>1481</v>
      </c>
      <c r="I233" s="408" t="s">
        <v>3247</v>
      </c>
    </row>
    <row r="234" spans="3:9" ht="15.75" customHeight="1">
      <c r="D234" s="407" t="str">
        <f t="shared" si="5"/>
        <v>Definitive Bewertung externen Audits /Peer</v>
      </c>
      <c r="E234" s="432" t="s">
        <v>1482</v>
      </c>
      <c r="F234" s="432" t="s">
        <v>1483</v>
      </c>
      <c r="G234" s="433" t="s">
        <v>1484</v>
      </c>
      <c r="H234" s="408" t="s">
        <v>1485</v>
      </c>
      <c r="I234" s="408" t="s">
        <v>3248</v>
      </c>
    </row>
    <row r="235" spans="3:9" ht="15.75" customHeight="1">
      <c r="D235" s="407" t="str">
        <f t="shared" si="5"/>
        <v>Passwort für den Schutz der Tabellen: „ebc“</v>
      </c>
      <c r="E235" s="408" t="s">
        <v>1486</v>
      </c>
      <c r="F235" s="408" t="s">
        <v>1487</v>
      </c>
      <c r="G235" s="413" t="s">
        <v>1488</v>
      </c>
      <c r="H235" s="408" t="s">
        <v>1489</v>
      </c>
      <c r="I235" s="408" t="s">
        <v>3249</v>
      </c>
    </row>
    <row r="236" spans="3:9" ht="15.75" customHeight="1">
      <c r="C236">
        <v>3</v>
      </c>
      <c r="D236" s="407" t="str">
        <f t="shared" si="5"/>
        <v>hoch</v>
      </c>
      <c r="E236" s="408" t="s">
        <v>150</v>
      </c>
      <c r="F236" s="408" t="s">
        <v>987</v>
      </c>
      <c r="G236" s="413" t="s">
        <v>988</v>
      </c>
      <c r="H236" s="408" t="s">
        <v>1490</v>
      </c>
      <c r="I236" s="408" t="s">
        <v>3129</v>
      </c>
    </row>
    <row r="237" spans="3:9" ht="15.75" customHeight="1">
      <c r="C237">
        <v>2</v>
      </c>
      <c r="D237" s="407" t="str">
        <f t="shared" si="5"/>
        <v>mittel</v>
      </c>
      <c r="E237" s="408" t="s">
        <v>149</v>
      </c>
      <c r="F237" s="408" t="s">
        <v>990</v>
      </c>
      <c r="G237" s="413" t="s">
        <v>991</v>
      </c>
      <c r="H237" s="408" t="s">
        <v>1491</v>
      </c>
      <c r="I237" s="408" t="s">
        <v>3130</v>
      </c>
    </row>
    <row r="238" spans="3:9" ht="15.75" customHeight="1">
      <c r="C238">
        <v>1</v>
      </c>
      <c r="D238" s="407" t="str">
        <f t="shared" si="5"/>
        <v>niedrig</v>
      </c>
      <c r="E238" s="408" t="s">
        <v>148</v>
      </c>
      <c r="F238" s="408" t="s">
        <v>993</v>
      </c>
      <c r="G238" s="413" t="s">
        <v>994</v>
      </c>
      <c r="H238" s="408" t="s">
        <v>1492</v>
      </c>
      <c r="I238" s="408" t="s">
        <v>3131</v>
      </c>
    </row>
    <row r="239" spans="3:9" ht="15.75" customHeight="1">
      <c r="C239">
        <v>0</v>
      </c>
      <c r="D239" s="407" t="str">
        <f t="shared" si="5"/>
        <v>trifft nicht zu</v>
      </c>
      <c r="E239" s="408" t="s">
        <v>147</v>
      </c>
      <c r="F239" s="408" t="s">
        <v>1493</v>
      </c>
      <c r="G239" s="413" t="s">
        <v>1494</v>
      </c>
      <c r="H239" s="408" t="s">
        <v>1495</v>
      </c>
      <c r="I239" s="408" t="s">
        <v>3132</v>
      </c>
    </row>
    <row r="240" spans="3:9" ht="15.75" customHeight="1">
      <c r="D240" s="407" t="str">
        <f t="shared" si="5"/>
        <v xml:space="preserve">Gewichtung geändert. Ursprünglich </v>
      </c>
      <c r="E240" s="408" t="s">
        <v>3031</v>
      </c>
      <c r="F240" s="408" t="s">
        <v>3032</v>
      </c>
      <c r="G240" s="413" t="s">
        <v>3033</v>
      </c>
      <c r="H240" s="408" t="s">
        <v>3034</v>
      </c>
      <c r="I240" s="408" t="s">
        <v>3250</v>
      </c>
    </row>
    <row r="241" spans="2:9" ht="15.75" customHeight="1">
      <c r="D241" s="407" t="str">
        <f t="shared" si="5"/>
        <v xml:space="preserve">Werte-Stern für </v>
      </c>
      <c r="E241" s="408" t="s">
        <v>1496</v>
      </c>
      <c r="F241" s="408" t="s">
        <v>1497</v>
      </c>
      <c r="G241" s="408" t="s">
        <v>1498</v>
      </c>
      <c r="H241" s="408" t="s">
        <v>1499</v>
      </c>
      <c r="I241" s="408" t="s">
        <v>3251</v>
      </c>
    </row>
    <row r="242" spans="2:9" ht="15.75" customHeight="1">
      <c r="D242" s="407" t="str">
        <f t="shared" si="5"/>
        <v xml:space="preserve">Gruppen-Stern für </v>
      </c>
      <c r="E242" s="408" t="s">
        <v>1500</v>
      </c>
      <c r="F242" s="408" t="s">
        <v>1501</v>
      </c>
      <c r="G242" s="408" t="s">
        <v>1502</v>
      </c>
      <c r="H242" s="408" t="s">
        <v>1503</v>
      </c>
      <c r="I242" s="408" t="s">
        <v>3252</v>
      </c>
    </row>
    <row r="243" spans="2:9" ht="15.75" customHeight="1">
      <c r="D243" s="407" t="str">
        <f t="shared" si="5"/>
        <v xml:space="preserve">Themen-Stern für </v>
      </c>
      <c r="E243" s="408" t="s">
        <v>1504</v>
      </c>
      <c r="F243" s="408" t="s">
        <v>1505</v>
      </c>
      <c r="G243" s="408" t="s">
        <v>1506</v>
      </c>
      <c r="H243" s="408" t="s">
        <v>1507</v>
      </c>
      <c r="I243" s="408" t="s">
        <v>3253</v>
      </c>
    </row>
    <row r="244" spans="2:9" ht="357.5" customHeight="1">
      <c r="B244" s="262" t="str">
        <f>D208</f>
        <v>Allgemein</v>
      </c>
      <c r="D244" s="407" t="str">
        <f t="shared" si="5"/>
        <v>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E244" s="434" t="s">
        <v>1508</v>
      </c>
      <c r="F244" s="408" t="s">
        <v>1509</v>
      </c>
      <c r="G244" s="413" t="s">
        <v>1510</v>
      </c>
      <c r="H244" s="408" t="s">
        <v>1511</v>
      </c>
      <c r="I244" s="408" t="s">
        <v>3254</v>
      </c>
    </row>
    <row r="245" spans="2:9" ht="227.75" customHeight="1">
      <c r="B245" s="262" t="s">
        <v>1384</v>
      </c>
      <c r="D245" s="407" t="str">
        <f t="shared" si="5"/>
        <v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E245" s="434" t="s">
        <v>1512</v>
      </c>
      <c r="F245" s="408" t="s">
        <v>1513</v>
      </c>
      <c r="G245" s="413" t="s">
        <v>1514</v>
      </c>
      <c r="H245" s="408" t="s">
        <v>1515</v>
      </c>
      <c r="I245" s="408" t="s">
        <v>3255</v>
      </c>
    </row>
    <row r="246" spans="2:9" ht="161.25" customHeight="1">
      <c r="B246" s="264" t="s">
        <v>1376</v>
      </c>
      <c r="D246" s="407" t="str">
        <f t="shared" si="5"/>
        <v>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E246" s="435" t="s">
        <v>1516</v>
      </c>
      <c r="F246" s="408" t="s">
        <v>1517</v>
      </c>
      <c r="G246" s="413" t="s">
        <v>1518</v>
      </c>
      <c r="H246" s="408" t="s">
        <v>1519</v>
      </c>
      <c r="I246" s="408" t="s">
        <v>3256</v>
      </c>
    </row>
    <row r="247" spans="2:9" ht="28.5" customHeight="1">
      <c r="B247" s="266" t="s">
        <v>13</v>
      </c>
      <c r="D247" s="407" t="str">
        <f t="shared" si="5"/>
        <v>Die Gewichtung dieses Thema’s ist abhängig von den sozialen Risiken der Zulieferbranchen</v>
      </c>
      <c r="E247" s="436" t="s">
        <v>1520</v>
      </c>
      <c r="F247" s="408" t="s">
        <v>1521</v>
      </c>
      <c r="G247" s="413" t="s">
        <v>1522</v>
      </c>
      <c r="H247" s="408" t="s">
        <v>1523</v>
      </c>
      <c r="I247" s="408" t="s">
        <v>3257</v>
      </c>
    </row>
    <row r="248" spans="2:9" ht="15.75" customHeight="1">
      <c r="B248" s="267" t="s">
        <v>16</v>
      </c>
      <c r="D248" s="407" t="str">
        <f t="shared" si="5"/>
        <v>-</v>
      </c>
      <c r="E248" s="437" t="s">
        <v>153</v>
      </c>
      <c r="F248" s="438" t="s">
        <v>153</v>
      </c>
      <c r="G248" s="438" t="s">
        <v>153</v>
      </c>
      <c r="H248" s="408" t="s">
        <v>153</v>
      </c>
      <c r="I248" s="408"/>
    </row>
    <row r="249" spans="2:9" ht="54.75" customHeight="1">
      <c r="B249" s="268" t="s">
        <v>20</v>
      </c>
      <c r="D249" s="407" t="str">
        <f t="shared" si="5"/>
        <v>Die Gewichtung dieses Thema’s ist abhängig vom ökologischen Effekt der Branche des Lieferanten (siehe Tabellenblatt “Industry”)</v>
      </c>
      <c r="E249" s="437" t="s">
        <v>1524</v>
      </c>
      <c r="F249" s="408" t="s">
        <v>1525</v>
      </c>
      <c r="G249" s="413" t="s">
        <v>1526</v>
      </c>
      <c r="H249" s="408" t="s">
        <v>1527</v>
      </c>
      <c r="I249" s="408" t="s">
        <v>3258</v>
      </c>
    </row>
    <row r="250" spans="2:9" ht="68.25" customHeight="1">
      <c r="B250" s="268" t="s">
        <v>23</v>
      </c>
      <c r="D250" s="407" t="str">
        <f t="shared" si="5"/>
        <v>Die Gewichtung dieses Thema’s ist abhängig von den Mitbestimmungsrechte in den Ländern der wichtigsten Zulieferbranchen (basierend auf dem ITUC-Index der International Trade Union Confederation)</v>
      </c>
      <c r="E250" s="439" t="s">
        <v>1528</v>
      </c>
      <c r="F250" s="408" t="s">
        <v>1529</v>
      </c>
      <c r="G250" s="413" t="s">
        <v>1530</v>
      </c>
      <c r="H250" s="408" t="s">
        <v>1531</v>
      </c>
      <c r="I250" s="408" t="s">
        <v>3259</v>
      </c>
    </row>
    <row r="251" spans="2:9" ht="28.5" customHeight="1">
      <c r="B251" s="268" t="s">
        <v>27</v>
      </c>
      <c r="D251" s="407" t="str">
        <f t="shared" si="5"/>
        <v>Die Gewichtung dieses Thema’s ist abhängig von der Relation Umsatz zu Bilanzsumme</v>
      </c>
      <c r="E251" s="437" t="s">
        <v>1532</v>
      </c>
      <c r="F251" s="408" t="s">
        <v>1533</v>
      </c>
      <c r="G251" s="413" t="s">
        <v>1534</v>
      </c>
      <c r="H251" s="408" t="s">
        <v>1535</v>
      </c>
      <c r="I251" s="408" t="s">
        <v>3260</v>
      </c>
    </row>
    <row r="252" spans="2:9" ht="42.75" customHeight="1">
      <c r="B252" s="268" t="s">
        <v>31</v>
      </c>
      <c r="D252" s="407" t="str">
        <f t="shared" si="5"/>
        <v xml:space="preserve">Die Gewichtung dieses Thema’s ist abhängig von der Relation Gewinn zu Umsatz </v>
      </c>
      <c r="E252" s="437" t="s">
        <v>1536</v>
      </c>
      <c r="F252" s="408" t="s">
        <v>1537</v>
      </c>
      <c r="G252" s="413" t="s">
        <v>1538</v>
      </c>
      <c r="H252" s="408" t="s">
        <v>1539</v>
      </c>
      <c r="I252" s="408" t="s">
        <v>3261</v>
      </c>
    </row>
    <row r="253" spans="2:9" ht="51" customHeight="1">
      <c r="B253" s="268" t="s">
        <v>34</v>
      </c>
      <c r="D253" s="407" t="str">
        <f t="shared" si="5"/>
        <v>Die Gewichtung dieses Thema’s ist abhängig  Zugängen zum Anlagevermögen und Finanzvermögen in Relation zu der Bilanzsumme</v>
      </c>
      <c r="E253" s="437" t="s">
        <v>1540</v>
      </c>
      <c r="F253" s="408" t="s">
        <v>1541</v>
      </c>
      <c r="G253" s="413" t="s">
        <v>1542</v>
      </c>
      <c r="H253" s="408" t="s">
        <v>1543</v>
      </c>
      <c r="I253" s="408" t="s">
        <v>3262</v>
      </c>
    </row>
    <row r="254" spans="2:9" ht="28.5" customHeight="1">
      <c r="B254" s="268" t="s">
        <v>38</v>
      </c>
      <c r="D254" s="407" t="str">
        <f t="shared" si="5"/>
        <v>Die Gewichtung dieses Thema’s ist abhängig von der Größe des Unternehmens</v>
      </c>
      <c r="E254" s="437" t="s">
        <v>1544</v>
      </c>
      <c r="F254" s="408" t="s">
        <v>1545</v>
      </c>
      <c r="G254" s="413" t="s">
        <v>1546</v>
      </c>
      <c r="H254" s="408" t="s">
        <v>1547</v>
      </c>
      <c r="I254" s="408" t="s">
        <v>3263</v>
      </c>
    </row>
    <row r="255" spans="2:9" ht="15.75" customHeight="1">
      <c r="B255" s="268" t="s">
        <v>42</v>
      </c>
      <c r="D255" s="407" t="str">
        <f t="shared" si="5"/>
        <v>-</v>
      </c>
      <c r="E255" s="440" t="s">
        <v>153</v>
      </c>
      <c r="F255" s="441" t="s">
        <v>153</v>
      </c>
      <c r="G255" s="441" t="s">
        <v>153</v>
      </c>
      <c r="H255" s="408" t="s">
        <v>153</v>
      </c>
      <c r="I255" s="408"/>
    </row>
    <row r="256" spans="2:9" ht="15.75" customHeight="1">
      <c r="B256" s="268" t="s">
        <v>47</v>
      </c>
      <c r="D256" s="407" t="str">
        <f t="shared" si="5"/>
        <v>-</v>
      </c>
      <c r="E256" s="437" t="s">
        <v>153</v>
      </c>
      <c r="F256" s="438" t="s">
        <v>153</v>
      </c>
      <c r="G256" s="438" t="s">
        <v>153</v>
      </c>
      <c r="H256" s="408" t="s">
        <v>153</v>
      </c>
      <c r="I256" s="408"/>
    </row>
    <row r="257" spans="2:9" ht="54.75" customHeight="1">
      <c r="B257" s="268" t="s">
        <v>52</v>
      </c>
      <c r="D257" s="407" t="str">
        <f t="shared" si="5"/>
        <v>Die Gewichtung dieses Thema’s ist abhängig von der Existenz einer Kantine für die Mehrheit der Mitarbeiter*innen sowie dem (geschätzten) durchschnittlichen Anfahrtsweg zur Arbeit.</v>
      </c>
      <c r="E257" s="437" t="s">
        <v>1548</v>
      </c>
      <c r="F257" s="408" t="s">
        <v>1549</v>
      </c>
      <c r="G257" s="413" t="s">
        <v>1550</v>
      </c>
      <c r="H257" s="408" t="s">
        <v>1551</v>
      </c>
      <c r="I257" s="408" t="s">
        <v>3264</v>
      </c>
    </row>
    <row r="258" spans="2:9" ht="81.5" customHeight="1">
      <c r="B258" s="268" t="s">
        <v>57</v>
      </c>
      <c r="D258" s="407" t="str">
        <f t="shared" si="5"/>
        <v>Die Gewichtung dieses Thema’s ist abhängig von der Größe des Unternehmens sowie von den Mitbestimmungsrechte in den Ländern der wichtigsten Standorte (basierend auf dem ITUC-Index der International Labour Union)</v>
      </c>
      <c r="E258" s="439" t="s">
        <v>1552</v>
      </c>
      <c r="F258" s="408" t="s">
        <v>1553</v>
      </c>
      <c r="G258" s="413" t="s">
        <v>1554</v>
      </c>
      <c r="H258" s="408" t="s">
        <v>1555</v>
      </c>
      <c r="I258" s="408" t="s">
        <v>3265</v>
      </c>
    </row>
    <row r="259" spans="2:9" ht="15.75" customHeight="1">
      <c r="B259" s="268" t="s">
        <v>63</v>
      </c>
      <c r="D259" s="407" t="str">
        <f t="shared" si="5"/>
        <v>-</v>
      </c>
      <c r="E259" s="437" t="s">
        <v>153</v>
      </c>
      <c r="F259" s="437" t="s">
        <v>153</v>
      </c>
      <c r="G259" s="437" t="s">
        <v>153</v>
      </c>
      <c r="H259" s="408" t="s">
        <v>153</v>
      </c>
      <c r="I259" s="408"/>
    </row>
    <row r="260" spans="2:9" ht="15.75" customHeight="1">
      <c r="B260" s="268" t="s">
        <v>67</v>
      </c>
      <c r="D260" s="407" t="str">
        <f t="shared" si="5"/>
        <v>-</v>
      </c>
      <c r="E260" s="437" t="s">
        <v>153</v>
      </c>
      <c r="F260" s="438" t="s">
        <v>153</v>
      </c>
      <c r="G260" s="438" t="s">
        <v>153</v>
      </c>
      <c r="H260" s="408" t="s">
        <v>153</v>
      </c>
      <c r="I260" s="408"/>
    </row>
    <row r="261" spans="2:9" ht="28.5" customHeight="1">
      <c r="B261" s="268" t="s">
        <v>71</v>
      </c>
      <c r="D261" s="407" t="str">
        <f t="shared" si="5"/>
        <v xml:space="preserve">Die Gewichtung dieses Thema’s ist abhängig von der Branche </v>
      </c>
      <c r="E261" s="437" t="s">
        <v>1556</v>
      </c>
      <c r="F261" s="408" t="s">
        <v>1557</v>
      </c>
      <c r="G261" s="413" t="s">
        <v>1558</v>
      </c>
      <c r="H261" s="408" t="s">
        <v>1559</v>
      </c>
      <c r="I261" s="408" t="s">
        <v>3266</v>
      </c>
    </row>
    <row r="262" spans="2:9" ht="41.75" customHeight="1">
      <c r="B262" s="268" t="s">
        <v>75</v>
      </c>
      <c r="D262" s="407" t="str">
        <f t="shared" si="5"/>
        <v>Die Gewichtung dieses Thema’s ist abhängig davon, ob Kund*innen in erster Linie Private oder Unternehmen sind</v>
      </c>
      <c r="E262" s="437" t="s">
        <v>1560</v>
      </c>
      <c r="F262" s="408" t="s">
        <v>1561</v>
      </c>
      <c r="G262" s="413" t="s">
        <v>1562</v>
      </c>
      <c r="H262" s="408" t="s">
        <v>1563</v>
      </c>
      <c r="I262" s="408" t="s">
        <v>3267</v>
      </c>
    </row>
    <row r="263" spans="2:9" ht="15.75" customHeight="1">
      <c r="B263" s="268" t="s">
        <v>79</v>
      </c>
      <c r="D263" s="407" t="str">
        <f t="shared" si="5"/>
        <v>-</v>
      </c>
      <c r="E263" s="437" t="s">
        <v>153</v>
      </c>
      <c r="F263" s="438" t="s">
        <v>153</v>
      </c>
      <c r="G263" s="438" t="s">
        <v>153</v>
      </c>
      <c r="H263" s="408" t="s">
        <v>153</v>
      </c>
      <c r="I263" s="408"/>
    </row>
    <row r="264" spans="2:9" ht="41.75" customHeight="1">
      <c r="B264" s="268" t="s">
        <v>83</v>
      </c>
      <c r="D264" s="407" t="str">
        <f t="shared" si="5"/>
        <v>Die Gewichtung dieses Thema’s ist abhängig von der Umsatzrentabilität (Gewinn/Umsatz)</v>
      </c>
      <c r="E264" s="437" t="s">
        <v>1564</v>
      </c>
      <c r="F264" s="408" t="s">
        <v>1565</v>
      </c>
      <c r="G264" s="413" t="s">
        <v>1566</v>
      </c>
      <c r="H264" s="408" t="s">
        <v>1567</v>
      </c>
      <c r="I264" s="408" t="s">
        <v>3268</v>
      </c>
    </row>
    <row r="265" spans="2:9" ht="28.5" customHeight="1">
      <c r="B265" s="268" t="s">
        <v>88</v>
      </c>
      <c r="D265" s="407" t="str">
        <f t="shared" si="5"/>
        <v>Die Gewichtung dieses Thenma’s ist abhängig von der Branche</v>
      </c>
      <c r="E265" s="437" t="s">
        <v>1568</v>
      </c>
      <c r="F265" s="408" t="s">
        <v>1557</v>
      </c>
      <c r="G265" s="413" t="s">
        <v>1558</v>
      </c>
      <c r="H265" s="408" t="s">
        <v>1559</v>
      </c>
      <c r="I265" s="408" t="s">
        <v>3266</v>
      </c>
    </row>
    <row r="266" spans="2:9" ht="41.75" customHeight="1">
      <c r="B266" s="269" t="s">
        <v>92</v>
      </c>
      <c r="D266" s="407" t="str">
        <f t="shared" si="5"/>
        <v>Die Gewichtung dieses Thema’s ist abhängig von der Größe sowie der Branche des Unternehmens.</v>
      </c>
      <c r="E266" s="442" t="s">
        <v>1569</v>
      </c>
      <c r="F266" s="408" t="s">
        <v>1570</v>
      </c>
      <c r="G266" s="413" t="s">
        <v>1571</v>
      </c>
      <c r="H266" s="408" t="s">
        <v>1572</v>
      </c>
      <c r="I266" s="408" t="s">
        <v>3269</v>
      </c>
    </row>
    <row r="267" spans="2:9" ht="15.75" customHeight="1">
      <c r="D267" s="407">
        <f t="shared" si="5"/>
        <v>0</v>
      </c>
      <c r="E267" s="408"/>
      <c r="G267" s="408"/>
      <c r="H267" s="408"/>
      <c r="I267" s="408"/>
    </row>
    <row r="268" spans="2:9" ht="28.5" customHeight="1">
      <c r="D268" s="407" t="str">
        <f t="shared" si="5"/>
        <v>A - Landwirtschaft, Forstwirtschaft und Fischerei</v>
      </c>
      <c r="E268" s="408" t="s">
        <v>1573</v>
      </c>
      <c r="F268" s="408" t="s">
        <v>1574</v>
      </c>
      <c r="G268" s="413" t="s">
        <v>1575</v>
      </c>
      <c r="H268" s="408" t="s">
        <v>1576</v>
      </c>
      <c r="I268" s="408" t="s">
        <v>3270</v>
      </c>
    </row>
    <row r="269" spans="2:9" ht="28.5" customHeight="1">
      <c r="D269" s="407" t="str">
        <f t="shared" si="5"/>
        <v>B - Bergbau und Gewinnung von Steinen und Erden</v>
      </c>
      <c r="E269" s="408" t="s">
        <v>1577</v>
      </c>
      <c r="F269" s="408" t="s">
        <v>1578</v>
      </c>
      <c r="G269" s="413" t="s">
        <v>1579</v>
      </c>
      <c r="H269" s="408" t="s">
        <v>1580</v>
      </c>
      <c r="I269" s="408" t="s">
        <v>3271</v>
      </c>
    </row>
    <row r="270" spans="2:9" ht="28.5" customHeight="1">
      <c r="D270" s="407" t="str">
        <f t="shared" si="5"/>
        <v>C - Verarbeitendes Gewerbe (nicht weiter spezifiziert)</v>
      </c>
      <c r="E270" s="408" t="s">
        <v>1581</v>
      </c>
      <c r="F270" s="408" t="s">
        <v>1582</v>
      </c>
      <c r="G270" s="413" t="s">
        <v>1583</v>
      </c>
      <c r="H270" s="408" t="s">
        <v>1584</v>
      </c>
      <c r="I270" s="408" t="s">
        <v>3272</v>
      </c>
    </row>
    <row r="271" spans="2:9" ht="28.5" customHeight="1">
      <c r="D271" s="407" t="str">
        <f t="shared" si="5"/>
        <v>Ca - Produktion von Lebensmittel, Getränken und Tabak (C10,C11,C12)</v>
      </c>
      <c r="E271" s="408" t="s">
        <v>1585</v>
      </c>
      <c r="F271" s="408" t="s">
        <v>1586</v>
      </c>
      <c r="G271" s="413" t="s">
        <v>1587</v>
      </c>
      <c r="H271" s="408" t="s">
        <v>1588</v>
      </c>
      <c r="I271" s="408" t="s">
        <v>3273</v>
      </c>
    </row>
    <row r="272" spans="2:9" ht="28.5" customHeight="1">
      <c r="D272" s="407" t="str">
        <f t="shared" si="5"/>
        <v>Cb - Produktion von Textilien, Kleidung, Leder und Produkten hieraus (C13,C14,C15)</v>
      </c>
      <c r="E272" s="408" t="s">
        <v>1589</v>
      </c>
      <c r="F272" s="408" t="s">
        <v>1590</v>
      </c>
      <c r="G272" s="413" t="s">
        <v>1591</v>
      </c>
      <c r="H272" s="408" t="s">
        <v>1592</v>
      </c>
      <c r="I272" s="408" t="s">
        <v>3274</v>
      </c>
    </row>
    <row r="273" spans="4:9" ht="41.75" customHeight="1">
      <c r="D273" s="407" t="str">
        <f t="shared" si="5"/>
        <v>Cc - Produktion von Holz- und Papierprodukten sowie Drucksorten (C16,C17,C18)</v>
      </c>
      <c r="E273" s="408" t="s">
        <v>1593</v>
      </c>
      <c r="F273" s="408" t="s">
        <v>1594</v>
      </c>
      <c r="G273" s="413" t="s">
        <v>1595</v>
      </c>
      <c r="H273" s="408" t="s">
        <v>1596</v>
      </c>
      <c r="I273" s="408" t="s">
        <v>3275</v>
      </c>
    </row>
    <row r="274" spans="4:9" ht="41.75" customHeight="1">
      <c r="D274" s="407" t="str">
        <f t="shared" si="5"/>
        <v>Cd - Produktion von petrochemischen Produkte und Kunststoffen (C19, C20;C22)</v>
      </c>
      <c r="E274" s="408" t="s">
        <v>1597</v>
      </c>
      <c r="F274" s="408" t="s">
        <v>1598</v>
      </c>
      <c r="G274" s="413" t="s">
        <v>1599</v>
      </c>
      <c r="H274" s="408" t="s">
        <v>1600</v>
      </c>
      <c r="I274" s="408" t="s">
        <v>3276</v>
      </c>
    </row>
    <row r="275" spans="4:9" ht="28.5" customHeight="1">
      <c r="D275" s="407" t="str">
        <f t="shared" si="5"/>
        <v>Ce - Produktion von pharmazeutischen Produktion und Präparaten (C21)</v>
      </c>
      <c r="E275" s="408" t="s">
        <v>1601</v>
      </c>
      <c r="F275" s="408" t="s">
        <v>1602</v>
      </c>
      <c r="G275" s="413" t="s">
        <v>1603</v>
      </c>
      <c r="H275" s="408" t="s">
        <v>1604</v>
      </c>
      <c r="I275" s="408" t="s">
        <v>3277</v>
      </c>
    </row>
    <row r="276" spans="4:9" ht="28.5" customHeight="1">
      <c r="D276" s="407" t="str">
        <f t="shared" si="5"/>
        <v>Cf - Produktion nicht metallischer Mineralstoffe (C23)</v>
      </c>
      <c r="E276" s="408" t="s">
        <v>1605</v>
      </c>
      <c r="F276" s="408" t="s">
        <v>1606</v>
      </c>
      <c r="G276" s="413" t="s">
        <v>1607</v>
      </c>
      <c r="H276" s="408" t="s">
        <v>1608</v>
      </c>
      <c r="I276" s="408" t="s">
        <v>3278</v>
      </c>
    </row>
    <row r="277" spans="4:9" ht="54.75" customHeight="1">
      <c r="D277" s="407" t="str">
        <f t="shared" si="5"/>
        <v>Cg - Produktion von Metallen und metallischen Produkten (exkl. Maschinen und Geräten) (C24,C25)</v>
      </c>
      <c r="E277" s="408" t="s">
        <v>1609</v>
      </c>
      <c r="F277" s="408" t="s">
        <v>1610</v>
      </c>
      <c r="G277" s="413" t="s">
        <v>1611</v>
      </c>
      <c r="H277" s="408" t="s">
        <v>1612</v>
      </c>
      <c r="I277" s="408" t="s">
        <v>3279</v>
      </c>
    </row>
    <row r="278" spans="4:9" ht="54.75" customHeight="1">
      <c r="D278" s="407" t="str">
        <f t="shared" si="5"/>
        <v>Ch - Produktion von elektronischen, optischen und sonstigen Geräten und Bauteilen sowie Computer (C26,C27,C28)</v>
      </c>
      <c r="E278" s="408" t="s">
        <v>1613</v>
      </c>
      <c r="F278" s="408" t="s">
        <v>1614</v>
      </c>
      <c r="G278" s="413" t="s">
        <v>1615</v>
      </c>
      <c r="H278" s="408" t="s">
        <v>1616</v>
      </c>
      <c r="I278" s="408" t="s">
        <v>3280</v>
      </c>
    </row>
    <row r="279" spans="4:9" ht="28.5" customHeight="1">
      <c r="D279" s="407" t="str">
        <f t="shared" si="5"/>
        <v xml:space="preserve">D - Strom-, Gas-, Dampfversorgung und Kühlung </v>
      </c>
      <c r="E279" s="408" t="s">
        <v>1617</v>
      </c>
      <c r="F279" s="408" t="s">
        <v>1618</v>
      </c>
      <c r="G279" s="413" t="s">
        <v>1619</v>
      </c>
      <c r="H279" s="408" t="s">
        <v>1620</v>
      </c>
      <c r="I279" s="408" t="s">
        <v>3281</v>
      </c>
    </row>
    <row r="280" spans="4:9" ht="28.5" customHeight="1">
      <c r="D280" s="407" t="str">
        <f t="shared" si="5"/>
        <v>E - Wasserversorgung, Abfallwirtschaft</v>
      </c>
      <c r="E280" s="408" t="s">
        <v>1621</v>
      </c>
      <c r="F280" s="408" t="s">
        <v>1622</v>
      </c>
      <c r="G280" s="413" t="s">
        <v>1623</v>
      </c>
      <c r="H280" s="408" t="s">
        <v>1624</v>
      </c>
      <c r="I280" s="408" t="s">
        <v>3282</v>
      </c>
    </row>
    <row r="281" spans="4:9" ht="15.75" customHeight="1">
      <c r="D281" s="407" t="str">
        <f t="shared" si="5"/>
        <v>F - Baugewerbe</v>
      </c>
      <c r="E281" s="408" t="s">
        <v>1625</v>
      </c>
      <c r="F281" s="408" t="s">
        <v>1626</v>
      </c>
      <c r="G281" s="413" t="s">
        <v>1627</v>
      </c>
      <c r="H281" s="408" t="s">
        <v>1628</v>
      </c>
      <c r="I281" s="408" t="s">
        <v>3283</v>
      </c>
    </row>
    <row r="282" spans="4:9" ht="41.75" customHeight="1">
      <c r="D282" s="407" t="str">
        <f t="shared" si="5"/>
        <v>G - Groß- und Einzelhandel sowie Werkstätten für Kraftfahrzeuge (Anmerkung: Groß- und Einzelhandel nicht auf KFZ beschränkt)</v>
      </c>
      <c r="E282" s="412" t="s">
        <v>1629</v>
      </c>
      <c r="F282" s="408" t="s">
        <v>1630</v>
      </c>
      <c r="G282" s="413" t="s">
        <v>1631</v>
      </c>
      <c r="H282" s="408" t="s">
        <v>1632</v>
      </c>
      <c r="I282" s="408" t="s">
        <v>3284</v>
      </c>
    </row>
    <row r="283" spans="4:9" ht="15.75" customHeight="1">
      <c r="D283" s="407" t="str">
        <f t="shared" si="5"/>
        <v>H - Verkehr und Lagerhaltung</v>
      </c>
      <c r="E283" s="408" t="s">
        <v>1633</v>
      </c>
      <c r="F283" s="408" t="s">
        <v>1634</v>
      </c>
      <c r="G283" s="413" t="s">
        <v>1635</v>
      </c>
      <c r="H283" s="408" t="s">
        <v>1636</v>
      </c>
      <c r="I283" s="408" t="s">
        <v>3285</v>
      </c>
    </row>
    <row r="284" spans="4:9" ht="15.75" customHeight="1">
      <c r="D284" s="407" t="str">
        <f t="shared" si="5"/>
        <v>I - Beherbergung und Gastronomie</v>
      </c>
      <c r="E284" s="408" t="s">
        <v>1637</v>
      </c>
      <c r="F284" s="408" t="s">
        <v>1638</v>
      </c>
      <c r="G284" s="413" t="s">
        <v>1639</v>
      </c>
      <c r="H284" s="408" t="s">
        <v>1640</v>
      </c>
      <c r="I284" s="408" t="s">
        <v>3286</v>
      </c>
    </row>
    <row r="285" spans="4:9" ht="15.75" customHeight="1">
      <c r="D285" s="407" t="str">
        <f t="shared" si="5"/>
        <v>J - Information und Kommunikation</v>
      </c>
      <c r="E285" s="408" t="s">
        <v>1641</v>
      </c>
      <c r="F285" s="408" t="s">
        <v>1642</v>
      </c>
      <c r="G285" s="413" t="s">
        <v>1643</v>
      </c>
      <c r="H285" s="408" t="s">
        <v>1644</v>
      </c>
      <c r="I285" s="408" t="s">
        <v>3287</v>
      </c>
    </row>
    <row r="286" spans="4:9" ht="15.75" customHeight="1">
      <c r="D286" s="407" t="str">
        <f t="shared" si="5"/>
        <v>K - Kredit- und Finanzwesen</v>
      </c>
      <c r="E286" s="408" t="s">
        <v>1645</v>
      </c>
      <c r="F286" s="408" t="s">
        <v>1646</v>
      </c>
      <c r="G286" s="413" t="s">
        <v>1647</v>
      </c>
      <c r="H286" s="408" t="s">
        <v>1648</v>
      </c>
      <c r="I286" s="408" t="s">
        <v>3288</v>
      </c>
    </row>
    <row r="287" spans="4:9" ht="15.75" customHeight="1">
      <c r="D287" s="407" t="str">
        <f t="shared" si="5"/>
        <v>L - (Immobilienwirtschaft</v>
      </c>
      <c r="E287" s="408" t="s">
        <v>1649</v>
      </c>
      <c r="F287" s="408" t="s">
        <v>1650</v>
      </c>
      <c r="G287" s="413" t="s">
        <v>1651</v>
      </c>
      <c r="H287" s="408" t="s">
        <v>1652</v>
      </c>
      <c r="I287" s="408" t="s">
        <v>3289</v>
      </c>
    </row>
    <row r="288" spans="4:9" ht="28.5" customHeight="1">
      <c r="D288" s="407" t="str">
        <f t="shared" si="5"/>
        <v>M - Freiberufliche, wissenschaftliche und technische Dienstleistungen</v>
      </c>
      <c r="E288" s="408" t="s">
        <v>1653</v>
      </c>
      <c r="F288" s="408" t="s">
        <v>1654</v>
      </c>
      <c r="G288" s="413" t="s">
        <v>1655</v>
      </c>
      <c r="H288" s="408" t="s">
        <v>1656</v>
      </c>
      <c r="I288" s="408" t="s">
        <v>3290</v>
      </c>
    </row>
    <row r="289" spans="4:9" ht="28.5" customHeight="1">
      <c r="D289" s="407" t="str">
        <f t="shared" si="5"/>
        <v>N - Administrative und unterstützende Dienstleistungen</v>
      </c>
      <c r="E289" s="408" t="s">
        <v>1657</v>
      </c>
      <c r="F289" s="408" t="s">
        <v>1658</v>
      </c>
      <c r="G289" s="413" t="s">
        <v>1659</v>
      </c>
      <c r="H289" s="408" t="s">
        <v>1660</v>
      </c>
      <c r="I289" s="408" t="s">
        <v>3291</v>
      </c>
    </row>
    <row r="290" spans="4:9" ht="28.5" customHeight="1">
      <c r="D290" s="407" t="str">
        <f t="shared" si="5"/>
        <v>O - Öffentliche Verwaltung; Verteidigung; Sozialversicherungswesen</v>
      </c>
      <c r="E290" s="408" t="s">
        <v>1661</v>
      </c>
      <c r="F290" s="408" t="s">
        <v>1662</v>
      </c>
      <c r="G290" s="413" t="s">
        <v>1663</v>
      </c>
      <c r="H290" s="408" t="s">
        <v>1664</v>
      </c>
      <c r="I290" s="408" t="s">
        <v>3292</v>
      </c>
    </row>
    <row r="291" spans="4:9" ht="15.75" customHeight="1">
      <c r="D291" s="407" t="str">
        <f t="shared" si="5"/>
        <v>P - Bildung</v>
      </c>
      <c r="E291" s="408" t="s">
        <v>7</v>
      </c>
      <c r="F291" s="408" t="s">
        <v>1665</v>
      </c>
      <c r="G291" s="413" t="s">
        <v>1666</v>
      </c>
      <c r="H291" s="408" t="s">
        <v>1667</v>
      </c>
      <c r="I291" s="408" t="s">
        <v>3293</v>
      </c>
    </row>
    <row r="292" spans="4:9" ht="28.5" customHeight="1">
      <c r="D292" s="407" t="str">
        <f t="shared" si="5"/>
        <v>Q - Gesundheit und Sozialarbeit</v>
      </c>
      <c r="E292" s="408" t="s">
        <v>1668</v>
      </c>
      <c r="F292" s="408" t="s">
        <v>1669</v>
      </c>
      <c r="G292" s="413" t="s">
        <v>1670</v>
      </c>
      <c r="H292" s="408" t="s">
        <v>1671</v>
      </c>
      <c r="I292" s="408" t="s">
        <v>3294</v>
      </c>
    </row>
    <row r="293" spans="4:9" ht="28.5" customHeight="1">
      <c r="D293" s="407" t="str">
        <f t="shared" si="5"/>
        <v>R - Kunst, Unterhaltung und Erholung</v>
      </c>
      <c r="E293" s="408" t="s">
        <v>1672</v>
      </c>
      <c r="F293" s="408" t="s">
        <v>1673</v>
      </c>
      <c r="G293" s="413" t="s">
        <v>1674</v>
      </c>
      <c r="H293" s="408" t="s">
        <v>1675</v>
      </c>
      <c r="I293" s="408" t="s">
        <v>3295</v>
      </c>
    </row>
    <row r="294" spans="4:9" ht="15.75" customHeight="1">
      <c r="D294" s="407" t="str">
        <f t="shared" si="5"/>
        <v>S - Andere Dienstleistungen</v>
      </c>
      <c r="E294" s="408" t="s">
        <v>1676</v>
      </c>
      <c r="F294" s="408" t="s">
        <v>1677</v>
      </c>
      <c r="G294" s="413" t="s">
        <v>1678</v>
      </c>
      <c r="H294" s="408" t="s">
        <v>1679</v>
      </c>
      <c r="I294" s="408" t="s">
        <v>3296</v>
      </c>
    </row>
    <row r="295" spans="4:9" ht="54.75" customHeight="1">
      <c r="D295" s="407" t="str">
        <f t="shared" ref="D295:D338" si="6">HLOOKUP($C$1,$E$1:$V$4910,ROW(D295))</f>
        <v>T - Private Haushalte</v>
      </c>
      <c r="E295" s="412" t="s">
        <v>1680</v>
      </c>
      <c r="F295" s="408" t="s">
        <v>1681</v>
      </c>
      <c r="G295" s="413" t="s">
        <v>1366</v>
      </c>
      <c r="H295" s="408" t="s">
        <v>1682</v>
      </c>
      <c r="I295" s="408" t="s">
        <v>3297</v>
      </c>
    </row>
    <row r="296" spans="4:9" ht="28.5" customHeight="1">
      <c r="D296" s="407" t="str">
        <f t="shared" si="6"/>
        <v>U - Exterritoriale Organisationen und Körperschaften</v>
      </c>
      <c r="E296" s="408" t="s">
        <v>1683</v>
      </c>
      <c r="F296" s="408" t="s">
        <v>1684</v>
      </c>
      <c r="G296" s="413" t="s">
        <v>1685</v>
      </c>
      <c r="H296" s="408" t="s">
        <v>1686</v>
      </c>
      <c r="I296" s="408" t="s">
        <v>3298</v>
      </c>
    </row>
    <row r="297" spans="4:9" ht="15.75" customHeight="1">
      <c r="D297" s="407" t="str">
        <f t="shared" si="6"/>
        <v>Gesamt-Ausgaben an Lieferanten (in Euro):</v>
      </c>
      <c r="E297" s="408" t="s">
        <v>1687</v>
      </c>
      <c r="F297" s="408" t="s">
        <v>1688</v>
      </c>
      <c r="G297" s="413" t="s">
        <v>1689</v>
      </c>
      <c r="H297" s="408" t="s">
        <v>1690</v>
      </c>
      <c r="I297" s="408" t="s">
        <v>3299</v>
      </c>
    </row>
    <row r="298" spans="4:9" ht="41.75" customHeight="1">
      <c r="D298" s="407" t="str">
        <f t="shared" si="6"/>
        <v xml:space="preserve">Tragen Sie nachstehend, bitte die 5 wichtigstenBranchen ein, aus denen Sie Produkte/Dienstleistungen beziehen. </v>
      </c>
      <c r="E298" s="408" t="s">
        <v>1691</v>
      </c>
      <c r="F298" s="408" t="s">
        <v>1692</v>
      </c>
      <c r="G298" s="413" t="s">
        <v>1693</v>
      </c>
      <c r="H298" s="408" t="s">
        <v>1694</v>
      </c>
      <c r="I298" s="408" t="s">
        <v>3300</v>
      </c>
    </row>
    <row r="299" spans="4:9" ht="15.75" customHeight="1">
      <c r="D299" s="407" t="str">
        <f t="shared" si="6"/>
        <v>Branche</v>
      </c>
      <c r="E299" s="408" t="s">
        <v>1695</v>
      </c>
      <c r="F299" s="408" t="s">
        <v>1696</v>
      </c>
      <c r="G299" s="413" t="s">
        <v>1697</v>
      </c>
      <c r="H299" s="408" t="s">
        <v>1698</v>
      </c>
      <c r="I299" s="408" t="s">
        <v>3301</v>
      </c>
    </row>
    <row r="300" spans="4:9" ht="15.75" customHeight="1">
      <c r="D300" s="407" t="str">
        <f t="shared" si="6"/>
        <v>Beschreibung</v>
      </c>
      <c r="E300" s="408" t="s">
        <v>1699</v>
      </c>
      <c r="F300" s="408" t="s">
        <v>1000</v>
      </c>
      <c r="G300" s="413" t="s">
        <v>1700</v>
      </c>
      <c r="H300" s="408" t="s">
        <v>1701</v>
      </c>
      <c r="I300" s="408" t="s">
        <v>1700</v>
      </c>
    </row>
    <row r="301" spans="4:9" ht="15.75" customHeight="1">
      <c r="D301" s="407" t="str">
        <f t="shared" si="6"/>
        <v>regionale Herkunft</v>
      </c>
      <c r="E301" s="408" t="s">
        <v>1702</v>
      </c>
      <c r="F301" s="408" t="s">
        <v>1703</v>
      </c>
      <c r="G301" s="413" t="s">
        <v>1704</v>
      </c>
      <c r="H301" s="408" t="s">
        <v>1705</v>
      </c>
      <c r="I301" s="408" t="s">
        <v>3302</v>
      </c>
    </row>
    <row r="302" spans="4:9" ht="15.75" customHeight="1">
      <c r="D302" s="407" t="str">
        <f t="shared" si="6"/>
        <v>Ausgaben</v>
      </c>
      <c r="E302" s="408" t="s">
        <v>1706</v>
      </c>
      <c r="F302" s="408" t="s">
        <v>1707</v>
      </c>
      <c r="G302" s="413" t="s">
        <v>1708</v>
      </c>
      <c r="H302" s="408" t="s">
        <v>1709</v>
      </c>
      <c r="I302" s="408" t="s">
        <v>3303</v>
      </c>
    </row>
    <row r="303" spans="4:9" ht="28.5" customHeight="1">
      <c r="D303" s="407" t="str">
        <f t="shared" si="6"/>
        <v>Überwiegende Herkunft restlicher Lieferanten</v>
      </c>
      <c r="E303" s="408" t="s">
        <v>1710</v>
      </c>
      <c r="F303" s="408" t="s">
        <v>1711</v>
      </c>
      <c r="G303" s="413" t="s">
        <v>1712</v>
      </c>
      <c r="H303" s="408" t="s">
        <v>1713</v>
      </c>
      <c r="I303" s="408" t="s">
        <v>3304</v>
      </c>
    </row>
    <row r="304" spans="4:9" ht="15.75" customHeight="1">
      <c r="D304" s="407" t="str">
        <f t="shared" si="6"/>
        <v>Gewinn (EBIT):</v>
      </c>
      <c r="E304" s="408" t="s">
        <v>1714</v>
      </c>
      <c r="F304" t="s">
        <v>1715</v>
      </c>
      <c r="G304" s="413" t="s">
        <v>1716</v>
      </c>
      <c r="H304" s="408" t="s">
        <v>1717</v>
      </c>
      <c r="I304" s="408" t="s">
        <v>3305</v>
      </c>
    </row>
    <row r="305" spans="4:9" ht="15.75" customHeight="1">
      <c r="D305" s="407" t="str">
        <f t="shared" si="6"/>
        <v>Finanzierungskosten</v>
      </c>
      <c r="E305" s="408" t="s">
        <v>1718</v>
      </c>
      <c r="F305" s="408" t="s">
        <v>1719</v>
      </c>
      <c r="G305" s="413" t="s">
        <v>1720</v>
      </c>
      <c r="H305" s="408" t="s">
        <v>1721</v>
      </c>
      <c r="I305" s="408" t="s">
        <v>3306</v>
      </c>
    </row>
    <row r="306" spans="4:9" ht="15.75" customHeight="1">
      <c r="D306" s="407" t="str">
        <f t="shared" si="6"/>
        <v>Erträge aus Finanzanlagen</v>
      </c>
      <c r="E306" s="408" t="s">
        <v>1722</v>
      </c>
      <c r="F306" s="408" t="s">
        <v>1723</v>
      </c>
      <c r="G306" s="413" t="s">
        <v>1724</v>
      </c>
      <c r="H306" s="408" t="s">
        <v>1725</v>
      </c>
      <c r="I306" s="408" t="s">
        <v>3307</v>
      </c>
    </row>
    <row r="307" spans="4:9" ht="15.75" customHeight="1">
      <c r="D307" s="407" t="str">
        <f t="shared" si="6"/>
        <v>Bilanzaktiva</v>
      </c>
      <c r="E307" s="408" t="s">
        <v>1726</v>
      </c>
      <c r="F307" t="s">
        <v>1727</v>
      </c>
      <c r="G307" s="413" t="s">
        <v>1728</v>
      </c>
      <c r="H307" s="408" t="s">
        <v>1729</v>
      </c>
      <c r="I307" s="408" t="s">
        <v>3308</v>
      </c>
    </row>
    <row r="308" spans="4:9" ht="15.75" customHeight="1">
      <c r="D308" s="407" t="str">
        <f t="shared" si="6"/>
        <v xml:space="preserve">Zugänge zum Anlagevermögen </v>
      </c>
      <c r="E308" s="408" t="s">
        <v>1730</v>
      </c>
      <c r="F308" t="s">
        <v>1731</v>
      </c>
      <c r="G308" s="413" t="s">
        <v>1732</v>
      </c>
      <c r="H308" s="408" t="s">
        <v>1733</v>
      </c>
      <c r="I308" s="408" t="s">
        <v>3309</v>
      </c>
    </row>
    <row r="309" spans="4:9" ht="15.75" customHeight="1">
      <c r="D309" s="407" t="str">
        <f t="shared" si="6"/>
        <v>Finanzanlagen und Barguthaben</v>
      </c>
      <c r="E309" s="408" t="s">
        <v>1734</v>
      </c>
      <c r="F309" t="s">
        <v>1735</v>
      </c>
      <c r="G309" s="413" t="s">
        <v>1736</v>
      </c>
      <c r="H309" s="408" t="s">
        <v>1737</v>
      </c>
      <c r="I309" s="408" t="s">
        <v>3310</v>
      </c>
    </row>
    <row r="310" spans="4:9" ht="28.5" customHeight="1">
      <c r="D310" s="407" t="str">
        <f t="shared" si="6"/>
        <v xml:space="preserve">Anzahl der Mitarbeitenden (in Vollzeitäquivalenten): </v>
      </c>
      <c r="E310" s="408" t="s">
        <v>1738</v>
      </c>
      <c r="F310" s="408" t="s">
        <v>1739</v>
      </c>
      <c r="G310" s="413" t="s">
        <v>1740</v>
      </c>
      <c r="H310" s="408" t="s">
        <v>1741</v>
      </c>
      <c r="I310" s="408" t="s">
        <v>3311</v>
      </c>
    </row>
    <row r="311" spans="4:9" ht="28.5" customHeight="1">
      <c r="D311" s="407" t="str">
        <f t="shared" si="6"/>
        <v>Personalkosten (brutto ohne Dienstgeberanteil)</v>
      </c>
      <c r="E311" s="408" t="s">
        <v>1742</v>
      </c>
      <c r="F311" s="408" t="s">
        <v>1743</v>
      </c>
      <c r="G311" s="413" t="s">
        <v>1744</v>
      </c>
      <c r="H311" s="408" t="s">
        <v>1745</v>
      </c>
      <c r="I311" s="408" t="s">
        <v>3312</v>
      </c>
    </row>
    <row r="312" spans="4:9" ht="41.75" customHeight="1">
      <c r="D312" s="407" t="str">
        <f t="shared" si="6"/>
        <v>Tragen Sie bitte nachstehend jene drei Länder und Regionen ein, wo die meisten Mitarbeitenden arbeiten</v>
      </c>
      <c r="E312" s="412" t="s">
        <v>1746</v>
      </c>
      <c r="F312" s="408" t="s">
        <v>1747</v>
      </c>
      <c r="G312" s="413" t="s">
        <v>1748</v>
      </c>
      <c r="H312" s="408" t="s">
        <v>1749</v>
      </c>
      <c r="I312" s="408" t="s">
        <v>3313</v>
      </c>
    </row>
    <row r="313" spans="4:9" ht="15.75" customHeight="1">
      <c r="D313" s="407" t="str">
        <f t="shared" si="6"/>
        <v>Land &amp; Region</v>
      </c>
      <c r="E313" s="408" t="s">
        <v>1750</v>
      </c>
      <c r="F313" s="408" t="s">
        <v>1751</v>
      </c>
      <c r="G313" s="413" t="s">
        <v>1752</v>
      </c>
      <c r="H313" s="408" t="s">
        <v>1753</v>
      </c>
      <c r="I313" s="408" t="s">
        <v>3314</v>
      </c>
    </row>
    <row r="314" spans="4:9" ht="15.75" customHeight="1">
      <c r="D314" s="407" t="str">
        <f t="shared" si="6"/>
        <v xml:space="preserve">Anteil in % </v>
      </c>
      <c r="E314" s="408" t="s">
        <v>1754</v>
      </c>
      <c r="F314" s="408" t="s">
        <v>1755</v>
      </c>
      <c r="G314" s="413" t="s">
        <v>1756</v>
      </c>
      <c r="H314" s="408" t="s">
        <v>1757</v>
      </c>
      <c r="I314" s="408" t="s">
        <v>3315</v>
      </c>
    </row>
    <row r="315" spans="4:9" ht="28.5" customHeight="1">
      <c r="D315" s="407" t="str">
        <f t="shared" si="6"/>
        <v>Durchschnittlicher Arbeitsweg der Mitarbeitenden (in km):</v>
      </c>
      <c r="E315" s="408" t="s">
        <v>1758</v>
      </c>
      <c r="F315" s="408" t="s">
        <v>1759</v>
      </c>
      <c r="G315" s="413" t="s">
        <v>1760</v>
      </c>
      <c r="H315" s="408" t="s">
        <v>1761</v>
      </c>
      <c r="I315" s="408" t="s">
        <v>3316</v>
      </c>
    </row>
    <row r="316" spans="4:9" ht="29.25" customHeight="1">
      <c r="D316" s="407" t="str">
        <f t="shared" si="6"/>
        <v>Gibt es eine Kantine für die Mehrheit der Mitarbeitenden?</v>
      </c>
      <c r="E316" s="408" t="s">
        <v>1762</v>
      </c>
      <c r="F316" s="408" t="s">
        <v>1763</v>
      </c>
      <c r="G316" s="413" t="s">
        <v>1764</v>
      </c>
      <c r="H316" s="408" t="s">
        <v>1765</v>
      </c>
      <c r="I316" s="408" t="s">
        <v>3317</v>
      </c>
    </row>
    <row r="317" spans="4:9" ht="15.75" customHeight="1">
      <c r="D317" s="407" t="str">
        <f t="shared" si="6"/>
        <v>Umsatz (in Euro)</v>
      </c>
      <c r="E317" s="408" t="s">
        <v>1766</v>
      </c>
      <c r="F317" s="408" t="s">
        <v>1767</v>
      </c>
      <c r="G317" s="413" t="s">
        <v>1768</v>
      </c>
      <c r="H317" s="408" t="s">
        <v>1769</v>
      </c>
      <c r="I317" s="408" t="s">
        <v>3318</v>
      </c>
    </row>
    <row r="318" spans="4:9" ht="28.5" customHeight="1">
      <c r="D318" s="407" t="str">
        <f t="shared" si="6"/>
        <v>Haben Sie nahezu ausschließlich Unternehmen als Kunden</v>
      </c>
      <c r="E318" s="408" t="s">
        <v>1770</v>
      </c>
      <c r="F318" s="408" t="s">
        <v>1771</v>
      </c>
      <c r="G318" s="413" t="s">
        <v>1772</v>
      </c>
      <c r="H318" s="408" t="s">
        <v>1773</v>
      </c>
      <c r="I318" s="408" t="s">
        <v>3319</v>
      </c>
    </row>
    <row r="319" spans="4:9" ht="41.75" customHeight="1">
      <c r="D319" s="407" t="str">
        <f t="shared" si="6"/>
        <v>Tragen Sie nachstehend, bitte die 3 wichtigsten Branchen ein, in denen Ihr Unternehmen tätig ist, inklusive ungefährem Umsatzanteil</v>
      </c>
      <c r="E319" s="408" t="s">
        <v>1774</v>
      </c>
      <c r="F319" s="408" t="s">
        <v>1775</v>
      </c>
      <c r="G319" s="413" t="s">
        <v>1776</v>
      </c>
      <c r="H319" s="408" t="s">
        <v>1777</v>
      </c>
      <c r="I319" s="408" t="s">
        <v>3320</v>
      </c>
    </row>
    <row r="320" spans="4:9" ht="15.75" customHeight="1">
      <c r="D320" s="407" t="str">
        <f t="shared" si="6"/>
        <v>Branche</v>
      </c>
      <c r="E320" s="408" t="s">
        <v>1695</v>
      </c>
      <c r="F320" s="408" t="s">
        <v>1696</v>
      </c>
      <c r="G320" s="413" t="s">
        <v>1697</v>
      </c>
      <c r="H320" s="408" t="s">
        <v>1698</v>
      </c>
      <c r="I320" s="408" t="s">
        <v>3301</v>
      </c>
    </row>
    <row r="321" spans="4:9" ht="15.75" customHeight="1">
      <c r="D321" s="407" t="str">
        <f t="shared" si="6"/>
        <v>Beschreibung</v>
      </c>
      <c r="E321" s="408" t="s">
        <v>1699</v>
      </c>
      <c r="F321" s="408" t="s">
        <v>1778</v>
      </c>
      <c r="G321" s="413" t="s">
        <v>1700</v>
      </c>
      <c r="H321" s="408" t="s">
        <v>1701</v>
      </c>
      <c r="I321" s="408" t="s">
        <v>1700</v>
      </c>
    </row>
    <row r="322" spans="4:9" ht="15.75" customHeight="1">
      <c r="D322" s="407" t="str">
        <f t="shared" si="6"/>
        <v>% Anteil am Gesamtumsatz</v>
      </c>
      <c r="E322" s="408" t="s">
        <v>1779</v>
      </c>
      <c r="F322" s="408" t="s">
        <v>1780</v>
      </c>
      <c r="G322" s="413" t="s">
        <v>1781</v>
      </c>
      <c r="H322" s="408" t="s">
        <v>1782</v>
      </c>
      <c r="I322" s="408" t="s">
        <v>3321</v>
      </c>
    </row>
    <row r="323" spans="4:9" ht="15.75" customHeight="1">
      <c r="D323" s="407" t="str">
        <f t="shared" si="6"/>
        <v xml:space="preserve">Unternehmensgrösse </v>
      </c>
      <c r="E323" s="408" t="s">
        <v>1783</v>
      </c>
      <c r="F323" s="408" t="s">
        <v>1784</v>
      </c>
      <c r="G323" s="413" t="s">
        <v>1785</v>
      </c>
      <c r="H323" s="408" t="s">
        <v>1786</v>
      </c>
      <c r="I323" s="408" t="s">
        <v>3322</v>
      </c>
    </row>
    <row r="324" spans="4:9" ht="15.75" customHeight="1">
      <c r="D324" s="407" t="str">
        <f t="shared" si="6"/>
        <v>Kleinstunternehmen</v>
      </c>
      <c r="E324" s="408" t="s">
        <v>1787</v>
      </c>
      <c r="F324" s="408" t="s">
        <v>1788</v>
      </c>
      <c r="G324" s="413" t="s">
        <v>1789</v>
      </c>
      <c r="H324" s="408" t="s">
        <v>1790</v>
      </c>
      <c r="I324" s="408" t="s">
        <v>3323</v>
      </c>
    </row>
    <row r="325" spans="4:9" ht="15.75" customHeight="1">
      <c r="D325" s="407" t="str">
        <f t="shared" si="6"/>
        <v>Kleinunternehmen</v>
      </c>
      <c r="E325" s="408" t="s">
        <v>1791</v>
      </c>
      <c r="F325" s="408" t="s">
        <v>1792</v>
      </c>
      <c r="G325" s="413" t="s">
        <v>1793</v>
      </c>
      <c r="H325" s="408" t="s">
        <v>1794</v>
      </c>
      <c r="I325" s="408" t="s">
        <v>3324</v>
      </c>
    </row>
    <row r="326" spans="4:9" ht="15.75" customHeight="1">
      <c r="D326" s="407" t="str">
        <f t="shared" si="6"/>
        <v>Mittleres Unternehmen</v>
      </c>
      <c r="E326" s="408" t="s">
        <v>1795</v>
      </c>
      <c r="F326" s="408" t="s">
        <v>1796</v>
      </c>
      <c r="G326" s="413" t="s">
        <v>1797</v>
      </c>
      <c r="H326" s="408" t="s">
        <v>1798</v>
      </c>
      <c r="I326" s="408" t="s">
        <v>3325</v>
      </c>
    </row>
    <row r="327" spans="4:9" ht="15.75" customHeight="1">
      <c r="D327" s="407" t="str">
        <f t="shared" si="6"/>
        <v>Grossunternehmen</v>
      </c>
      <c r="E327" s="408" t="s">
        <v>1799</v>
      </c>
      <c r="F327" s="408" t="s">
        <v>1800</v>
      </c>
      <c r="G327" s="413" t="s">
        <v>1801</v>
      </c>
      <c r="H327" s="408" t="s">
        <v>1802</v>
      </c>
      <c r="I327" s="408" t="s">
        <v>3326</v>
      </c>
    </row>
    <row r="328" spans="4:9" ht="28.5" customHeight="1">
      <c r="D328" s="407" t="str">
        <f t="shared" si="6"/>
        <v xml:space="preserve">In diesem Tabellenblatt wird die Gemeinwohlbilanz berechnet. </v>
      </c>
      <c r="E328" s="412" t="s">
        <v>1803</v>
      </c>
      <c r="F328" s="408" t="s">
        <v>1804</v>
      </c>
      <c r="G328" s="408" t="str">
        <f>"[en]"&amp;E328</f>
        <v xml:space="preserve">[en]In diesem Tabellenblatt wird die Gemeinwohlbilanz berechnet. </v>
      </c>
      <c r="H328" s="408" t="s">
        <v>1805</v>
      </c>
      <c r="I328" s="408" t="s">
        <v>3327</v>
      </c>
    </row>
    <row r="329" spans="4:9" ht="28.5" customHeight="1">
      <c r="D329" s="407" t="str">
        <f t="shared" si="6"/>
        <v>Skalenwert eingeben: Wert muss im Bereich von 0 bis 10 liegen.</v>
      </c>
      <c r="E329" s="412" t="s">
        <v>1806</v>
      </c>
      <c r="F329" s="443" t="s">
        <v>1807</v>
      </c>
      <c r="G329" s="413" t="s">
        <v>3037</v>
      </c>
      <c r="H329" s="408" t="s">
        <v>1808</v>
      </c>
      <c r="I329" s="408" t="s">
        <v>3328</v>
      </c>
    </row>
    <row r="330" spans="4:9" ht="28.5" customHeight="1">
      <c r="D330" s="407" t="str">
        <f t="shared" si="6"/>
        <v>Negativpunkte eingeben: Werte müssen im Bereich von -200 bis 0 liegen.</v>
      </c>
      <c r="E330" s="412" t="s">
        <v>1809</v>
      </c>
      <c r="F330" s="443" t="s">
        <v>1810</v>
      </c>
      <c r="G330" s="413" t="s">
        <v>3038</v>
      </c>
      <c r="H330" s="408" t="s">
        <v>1811</v>
      </c>
      <c r="I330" s="408" t="s">
        <v>3329</v>
      </c>
    </row>
    <row r="331" spans="4:9" ht="15.75" customHeight="1">
      <c r="D331" s="407" t="str">
        <f t="shared" si="6"/>
        <v>globaler Durchschnitt</v>
      </c>
      <c r="E331" s="444" t="s">
        <v>1812</v>
      </c>
      <c r="F331" s="408" t="s">
        <v>1813</v>
      </c>
      <c r="G331" s="413" t="str">
        <f>"[en]"&amp;E331</f>
        <v>[en]globaler Durchschnitt</v>
      </c>
      <c r="H331" s="408" t="s">
        <v>1814</v>
      </c>
      <c r="I331" s="408" t="s">
        <v>3330</v>
      </c>
    </row>
    <row r="332" spans="4:9" ht="15.75" customHeight="1">
      <c r="D332" s="407" t="str">
        <f t="shared" si="6"/>
        <v>Bitte auswählen</v>
      </c>
      <c r="E332" s="444" t="s">
        <v>1815</v>
      </c>
      <c r="F332" s="408" t="s">
        <v>1369</v>
      </c>
      <c r="G332" s="413" t="s">
        <v>1370</v>
      </c>
      <c r="H332" s="408" t="s">
        <v>1816</v>
      </c>
      <c r="I332" s="408" t="s">
        <v>3225</v>
      </c>
    </row>
    <row r="333" spans="4:9" ht="16.25" customHeight="1">
      <c r="D333" s="407" t="str">
        <f t="shared" si="6"/>
        <v>Afrika</v>
      </c>
      <c r="E333" s="444" t="s">
        <v>1817</v>
      </c>
      <c r="F333" s="408" t="s">
        <v>250</v>
      </c>
      <c r="G333" s="413" t="str">
        <f t="shared" ref="G333:G338" si="7">"[en]"&amp;E333</f>
        <v>[en]Afrika</v>
      </c>
      <c r="H333" s="408" t="s">
        <v>1818</v>
      </c>
      <c r="I333" s="408" t="s">
        <v>3331</v>
      </c>
    </row>
    <row r="334" spans="4:9" ht="16.25" customHeight="1">
      <c r="D334" s="407" t="str">
        <f t="shared" si="6"/>
        <v>Nord-Afrika und Mittlere Osten</v>
      </c>
      <c r="E334" s="444" t="s">
        <v>1819</v>
      </c>
      <c r="F334" s="408" t="s">
        <v>1820</v>
      </c>
      <c r="G334" s="413" t="str">
        <f t="shared" si="7"/>
        <v>[en]Nord-Afrika und Mittlere Osten</v>
      </c>
      <c r="H334" s="408" t="s">
        <v>1821</v>
      </c>
      <c r="I334" s="408" t="s">
        <v>3332</v>
      </c>
    </row>
    <row r="335" spans="4:9" ht="16.25" customHeight="1">
      <c r="D335" s="407" t="str">
        <f t="shared" si="6"/>
        <v>Latein-Amerika</v>
      </c>
      <c r="E335" s="444" t="s">
        <v>1822</v>
      </c>
      <c r="F335" s="408" t="s">
        <v>1823</v>
      </c>
      <c r="G335" s="413" t="str">
        <f t="shared" si="7"/>
        <v>[en]Latein-Amerika</v>
      </c>
      <c r="H335" s="408" t="s">
        <v>1824</v>
      </c>
      <c r="I335" s="408" t="s">
        <v>3333</v>
      </c>
    </row>
    <row r="336" spans="4:9" ht="16.25" customHeight="1">
      <c r="D336" s="407" t="str">
        <f t="shared" si="6"/>
        <v>Nord-Amerika &amp; Ozeanien</v>
      </c>
      <c r="E336" s="444" t="s">
        <v>1825</v>
      </c>
      <c r="F336" s="408" t="s">
        <v>1826</v>
      </c>
      <c r="G336" s="413" t="str">
        <f t="shared" si="7"/>
        <v>[en]Nord-Amerika &amp; Ozeanien</v>
      </c>
      <c r="H336" s="408" t="s">
        <v>1827</v>
      </c>
      <c r="I336" s="408" t="s">
        <v>3334</v>
      </c>
    </row>
    <row r="337" spans="1:11" ht="16.25" customHeight="1">
      <c r="D337" s="407" t="str">
        <f t="shared" si="6"/>
        <v>Asien</v>
      </c>
      <c r="E337" s="444" t="s">
        <v>1828</v>
      </c>
      <c r="F337" s="408" t="s">
        <v>247</v>
      </c>
      <c r="G337" s="413" t="str">
        <f t="shared" si="7"/>
        <v>[en]Asien</v>
      </c>
      <c r="H337" s="408" t="s">
        <v>247</v>
      </c>
      <c r="I337" s="408" t="s">
        <v>3335</v>
      </c>
    </row>
    <row r="338" spans="1:11" ht="15.75" customHeight="1">
      <c r="D338" s="407" t="str">
        <f t="shared" si="6"/>
        <v>Europa</v>
      </c>
      <c r="E338" s="444" t="s">
        <v>1829</v>
      </c>
      <c r="F338" s="408" t="s">
        <v>1829</v>
      </c>
      <c r="G338" s="413" t="str">
        <f t="shared" si="7"/>
        <v>[en]Europa</v>
      </c>
      <c r="H338" s="408" t="s">
        <v>1829</v>
      </c>
      <c r="I338" s="408" t="s">
        <v>253</v>
      </c>
    </row>
    <row r="339" spans="1:11" ht="15.75" customHeight="1">
      <c r="A339" s="445" t="s">
        <v>245</v>
      </c>
      <c r="B339" t="s">
        <v>1830</v>
      </c>
      <c r="C339" s="445" t="s">
        <v>1831</v>
      </c>
      <c r="D339" s="407" t="str">
        <f t="shared" ref="D339:D402" si="8">A339&amp;" "&amp;HLOOKUP($C$1,$E$1:$V$4910,ROW(D339))</f>
        <v>ABW Aruba</v>
      </c>
      <c r="E339" s="446" t="s">
        <v>242</v>
      </c>
      <c r="F339" s="408" t="s">
        <v>1832</v>
      </c>
      <c r="G339" s="413" t="s">
        <v>1832</v>
      </c>
      <c r="H339" s="408" t="s">
        <v>242</v>
      </c>
      <c r="I339" s="408" t="s">
        <v>242</v>
      </c>
      <c r="J339" s="380" t="s">
        <v>245</v>
      </c>
      <c r="K339" s="409" t="str">
        <f t="shared" ref="K339:K402" si="9">IF(J339=A339,"","nix")</f>
        <v/>
      </c>
    </row>
    <row r="340" spans="1:11" ht="15.75" customHeight="1">
      <c r="A340" s="445" t="s">
        <v>248</v>
      </c>
      <c r="B340" t="s">
        <v>1833</v>
      </c>
      <c r="C340" s="445" t="s">
        <v>1834</v>
      </c>
      <c r="D340" s="407" t="str">
        <f t="shared" si="8"/>
        <v>AFG Afghanistan</v>
      </c>
      <c r="E340" s="446" t="s">
        <v>246</v>
      </c>
      <c r="F340" s="408" t="s">
        <v>1835</v>
      </c>
      <c r="G340" s="413" t="s">
        <v>1835</v>
      </c>
      <c r="H340" s="408" t="s">
        <v>1836</v>
      </c>
      <c r="I340" s="408" t="s">
        <v>246</v>
      </c>
      <c r="J340" s="380" t="s">
        <v>248</v>
      </c>
      <c r="K340" s="409" t="str">
        <f t="shared" si="9"/>
        <v/>
      </c>
    </row>
    <row r="341" spans="1:11" ht="15.75" customHeight="1">
      <c r="A341" s="445" t="s">
        <v>251</v>
      </c>
      <c r="B341" t="s">
        <v>1837</v>
      </c>
      <c r="C341" s="445" t="s">
        <v>1838</v>
      </c>
      <c r="D341" s="407" t="str">
        <f t="shared" si="8"/>
        <v>AGO Angola</v>
      </c>
      <c r="E341" s="446" t="s">
        <v>249</v>
      </c>
      <c r="F341" s="408" t="s">
        <v>1839</v>
      </c>
      <c r="G341" s="413" t="s">
        <v>1839</v>
      </c>
      <c r="H341" s="408" t="s">
        <v>249</v>
      </c>
      <c r="I341" s="408" t="s">
        <v>249</v>
      </c>
      <c r="J341" s="380" t="s">
        <v>251</v>
      </c>
      <c r="K341" s="409" t="str">
        <f t="shared" si="9"/>
        <v/>
      </c>
    </row>
    <row r="342" spans="1:11" ht="15.75" customHeight="1">
      <c r="A342" s="445" t="s">
        <v>254</v>
      </c>
      <c r="B342" t="s">
        <v>1840</v>
      </c>
      <c r="C342" s="445" t="s">
        <v>1841</v>
      </c>
      <c r="D342" s="407" t="str">
        <f t="shared" si="8"/>
        <v>ALB Albanien</v>
      </c>
      <c r="E342" s="446" t="s">
        <v>1842</v>
      </c>
      <c r="F342" s="408" t="s">
        <v>1843</v>
      </c>
      <c r="G342" s="413" t="s">
        <v>1843</v>
      </c>
      <c r="H342" s="408" t="s">
        <v>252</v>
      </c>
      <c r="I342" s="408" t="s">
        <v>1844</v>
      </c>
      <c r="J342" s="380" t="s">
        <v>254</v>
      </c>
      <c r="K342" s="409" t="str">
        <f t="shared" si="9"/>
        <v/>
      </c>
    </row>
    <row r="343" spans="1:11" ht="15.75" customHeight="1">
      <c r="A343" s="445" t="s">
        <v>256</v>
      </c>
      <c r="B343" t="s">
        <v>1845</v>
      </c>
      <c r="C343" s="445" t="s">
        <v>1846</v>
      </c>
      <c r="D343" s="407" t="str">
        <f t="shared" si="8"/>
        <v>AND Andorra</v>
      </c>
      <c r="E343" s="446" t="s">
        <v>255</v>
      </c>
      <c r="F343" s="408" t="s">
        <v>1847</v>
      </c>
      <c r="G343" s="413" t="s">
        <v>1847</v>
      </c>
      <c r="H343" s="408" t="s">
        <v>255</v>
      </c>
      <c r="I343" s="408" t="s">
        <v>1848</v>
      </c>
      <c r="J343" s="380" t="s">
        <v>256</v>
      </c>
      <c r="K343" s="409" t="str">
        <f t="shared" si="9"/>
        <v/>
      </c>
    </row>
    <row r="344" spans="1:11" ht="15.75" customHeight="1">
      <c r="A344" s="445" t="s">
        <v>258</v>
      </c>
      <c r="B344" t="s">
        <v>1849</v>
      </c>
      <c r="C344" s="445" t="s">
        <v>1850</v>
      </c>
      <c r="D344" s="407" t="str">
        <f t="shared" si="8"/>
        <v>ARE Vereinigte Arabische Emirate</v>
      </c>
      <c r="E344" s="446" t="s">
        <v>1851</v>
      </c>
      <c r="F344" s="408" t="s">
        <v>1852</v>
      </c>
      <c r="G344" s="413" t="s">
        <v>1853</v>
      </c>
      <c r="H344" s="408" t="s">
        <v>1854</v>
      </c>
      <c r="I344" s="408" t="s">
        <v>1855</v>
      </c>
      <c r="J344" s="380" t="s">
        <v>258</v>
      </c>
      <c r="K344" s="409" t="str">
        <f t="shared" si="9"/>
        <v/>
      </c>
    </row>
    <row r="345" spans="1:11" ht="15.75" customHeight="1">
      <c r="A345" s="445" t="s">
        <v>260</v>
      </c>
      <c r="B345" t="s">
        <v>1856</v>
      </c>
      <c r="C345" s="445" t="s">
        <v>1857</v>
      </c>
      <c r="D345" s="407" t="str">
        <f t="shared" si="8"/>
        <v>ARG Argentinien</v>
      </c>
      <c r="E345" s="446" t="s">
        <v>1858</v>
      </c>
      <c r="F345" s="408" t="s">
        <v>1859</v>
      </c>
      <c r="G345" s="413" t="s">
        <v>1859</v>
      </c>
      <c r="H345" s="408" t="s">
        <v>259</v>
      </c>
      <c r="I345" s="408" t="s">
        <v>1860</v>
      </c>
      <c r="J345" s="380" t="s">
        <v>260</v>
      </c>
      <c r="K345" s="409" t="str">
        <f t="shared" si="9"/>
        <v/>
      </c>
    </row>
    <row r="346" spans="1:11" ht="15.75" customHeight="1">
      <c r="A346" s="445" t="s">
        <v>262</v>
      </c>
      <c r="B346" t="s">
        <v>1861</v>
      </c>
      <c r="C346" s="445" t="s">
        <v>1862</v>
      </c>
      <c r="D346" s="407" t="str">
        <f t="shared" si="8"/>
        <v>ARM Armenien</v>
      </c>
      <c r="E346" s="446" t="s">
        <v>1863</v>
      </c>
      <c r="F346" s="408" t="s">
        <v>1864</v>
      </c>
      <c r="G346" s="413" t="s">
        <v>1864</v>
      </c>
      <c r="H346" s="408" t="s">
        <v>261</v>
      </c>
      <c r="I346" s="408" t="s">
        <v>1865</v>
      </c>
      <c r="J346" s="380" t="s">
        <v>262</v>
      </c>
      <c r="K346" s="409" t="str">
        <f t="shared" si="9"/>
        <v/>
      </c>
    </row>
    <row r="347" spans="1:11" ht="15.75" customHeight="1">
      <c r="A347" s="445" t="s">
        <v>265</v>
      </c>
      <c r="B347" t="s">
        <v>1866</v>
      </c>
      <c r="C347" s="445" t="s">
        <v>1867</v>
      </c>
      <c r="D347" s="407" t="str">
        <f t="shared" si="8"/>
        <v>ASM Amerikanisch-Samoa</v>
      </c>
      <c r="E347" s="446" t="s">
        <v>1868</v>
      </c>
      <c r="F347" s="408" t="s">
        <v>1869</v>
      </c>
      <c r="G347" s="413" t="s">
        <v>1870</v>
      </c>
      <c r="H347" s="408" t="s">
        <v>1871</v>
      </c>
      <c r="I347" s="408" t="s">
        <v>1872</v>
      </c>
      <c r="J347" s="380" t="s">
        <v>265</v>
      </c>
      <c r="K347" s="409" t="str">
        <f t="shared" si="9"/>
        <v/>
      </c>
    </row>
    <row r="348" spans="1:11" ht="15.75" customHeight="1">
      <c r="A348" s="445" t="s">
        <v>267</v>
      </c>
      <c r="B348" t="s">
        <v>1873</v>
      </c>
      <c r="C348" s="445" t="s">
        <v>1874</v>
      </c>
      <c r="D348" s="407" t="str">
        <f t="shared" si="8"/>
        <v>ATG Antigua und Barbuda</v>
      </c>
      <c r="E348" s="446" t="s">
        <v>1875</v>
      </c>
      <c r="F348" s="408" t="s">
        <v>1876</v>
      </c>
      <c r="G348" s="413" t="s">
        <v>1877</v>
      </c>
      <c r="H348" s="408" t="s">
        <v>1878</v>
      </c>
      <c r="I348" s="408" t="s">
        <v>1879</v>
      </c>
      <c r="J348" s="380" t="s">
        <v>267</v>
      </c>
      <c r="K348" s="409" t="str">
        <f t="shared" si="9"/>
        <v/>
      </c>
    </row>
    <row r="349" spans="1:11" ht="15.75" customHeight="1">
      <c r="A349" s="445" t="s">
        <v>269</v>
      </c>
      <c r="B349" t="s">
        <v>1880</v>
      </c>
      <c r="C349" s="445" t="s">
        <v>1881</v>
      </c>
      <c r="D349" s="407" t="str">
        <f t="shared" si="8"/>
        <v>AUS Australien</v>
      </c>
      <c r="E349" s="446" t="s">
        <v>1882</v>
      </c>
      <c r="F349" s="408" t="s">
        <v>1883</v>
      </c>
      <c r="G349" s="413" t="s">
        <v>1883</v>
      </c>
      <c r="H349" s="408" t="s">
        <v>268</v>
      </c>
      <c r="I349" s="408" t="s">
        <v>1884</v>
      </c>
      <c r="J349" s="380" t="s">
        <v>269</v>
      </c>
      <c r="K349" s="409" t="str">
        <f t="shared" si="9"/>
        <v/>
      </c>
    </row>
    <row r="350" spans="1:11" ht="15.75" customHeight="1">
      <c r="A350" s="445" t="s">
        <v>271</v>
      </c>
      <c r="B350" t="s">
        <v>1885</v>
      </c>
      <c r="C350" s="445" t="s">
        <v>1886</v>
      </c>
      <c r="D350" s="407" t="str">
        <f t="shared" si="8"/>
        <v>AUT Österreich</v>
      </c>
      <c r="E350" s="446" t="s">
        <v>1887</v>
      </c>
      <c r="F350" s="408" t="s">
        <v>1888</v>
      </c>
      <c r="G350" s="413" t="s">
        <v>1888</v>
      </c>
      <c r="H350" s="408" t="s">
        <v>270</v>
      </c>
      <c r="I350" s="408" t="s">
        <v>1889</v>
      </c>
      <c r="J350" s="380" t="s">
        <v>271</v>
      </c>
      <c r="K350" s="409" t="str">
        <f t="shared" si="9"/>
        <v/>
      </c>
    </row>
    <row r="351" spans="1:11" ht="15.75" customHeight="1">
      <c r="A351" s="445" t="s">
        <v>273</v>
      </c>
      <c r="B351" t="s">
        <v>1890</v>
      </c>
      <c r="C351" s="445" t="s">
        <v>1891</v>
      </c>
      <c r="D351" s="407" t="str">
        <f t="shared" si="8"/>
        <v>AZE Aserbaidschan</v>
      </c>
      <c r="E351" s="446" t="s">
        <v>1892</v>
      </c>
      <c r="F351" s="408" t="s">
        <v>1893</v>
      </c>
      <c r="G351" s="413" t="s">
        <v>1894</v>
      </c>
      <c r="H351" s="408" t="s">
        <v>1895</v>
      </c>
      <c r="I351" s="408" t="s">
        <v>1896</v>
      </c>
      <c r="J351" s="380" t="s">
        <v>273</v>
      </c>
      <c r="K351" s="409" t="str">
        <f t="shared" si="9"/>
        <v/>
      </c>
    </row>
    <row r="352" spans="1:11" ht="15.75" customHeight="1">
      <c r="A352" s="445" t="s">
        <v>275</v>
      </c>
      <c r="B352" t="s">
        <v>1897</v>
      </c>
      <c r="C352" s="445" t="s">
        <v>1898</v>
      </c>
      <c r="D352" s="407" t="str">
        <f t="shared" si="8"/>
        <v>BDI Burundi</v>
      </c>
      <c r="E352" s="446" t="s">
        <v>274</v>
      </c>
      <c r="F352" s="408" t="s">
        <v>1899</v>
      </c>
      <c r="G352" s="413" t="s">
        <v>1899</v>
      </c>
      <c r="H352" s="408" t="s">
        <v>274</v>
      </c>
      <c r="I352" s="408" t="s">
        <v>274</v>
      </c>
      <c r="J352" s="380" t="s">
        <v>275</v>
      </c>
      <c r="K352" s="409" t="str">
        <f t="shared" si="9"/>
        <v/>
      </c>
    </row>
    <row r="353" spans="1:11" ht="15.75" customHeight="1">
      <c r="A353" s="445" t="s">
        <v>277</v>
      </c>
      <c r="B353" t="s">
        <v>1900</v>
      </c>
      <c r="C353" s="445" t="s">
        <v>1901</v>
      </c>
      <c r="D353" s="407" t="str">
        <f t="shared" si="8"/>
        <v>BEL Belgien</v>
      </c>
      <c r="E353" s="446" t="s">
        <v>1902</v>
      </c>
      <c r="F353" s="408" t="s">
        <v>1903</v>
      </c>
      <c r="G353" s="413" t="s">
        <v>1904</v>
      </c>
      <c r="H353" s="408" t="s">
        <v>1905</v>
      </c>
      <c r="I353" s="408" t="s">
        <v>1906</v>
      </c>
      <c r="J353" s="380" t="s">
        <v>277</v>
      </c>
      <c r="K353" s="409" t="str">
        <f t="shared" si="9"/>
        <v/>
      </c>
    </row>
    <row r="354" spans="1:11" ht="15.75" customHeight="1">
      <c r="A354" s="445" t="s">
        <v>279</v>
      </c>
      <c r="B354" t="s">
        <v>1907</v>
      </c>
      <c r="C354" s="445" t="s">
        <v>1908</v>
      </c>
      <c r="D354" s="407" t="str">
        <f t="shared" si="8"/>
        <v>BEN Benin</v>
      </c>
      <c r="E354" s="446" t="s">
        <v>278</v>
      </c>
      <c r="F354" s="408" t="s">
        <v>1909</v>
      </c>
      <c r="G354" s="413" t="s">
        <v>1909</v>
      </c>
      <c r="H354" s="408" t="s">
        <v>1910</v>
      </c>
      <c r="I354" s="408" t="s">
        <v>1911</v>
      </c>
      <c r="J354" s="380" t="s">
        <v>279</v>
      </c>
      <c r="K354" s="409" t="str">
        <f t="shared" si="9"/>
        <v/>
      </c>
    </row>
    <row r="355" spans="1:11" ht="15.75" customHeight="1">
      <c r="A355" s="445" t="s">
        <v>281</v>
      </c>
      <c r="B355" t="s">
        <v>1912</v>
      </c>
      <c r="C355" s="445" t="s">
        <v>1913</v>
      </c>
      <c r="D355" s="407" t="str">
        <f t="shared" si="8"/>
        <v>BFA Burkina Faso</v>
      </c>
      <c r="E355" s="446" t="s">
        <v>280</v>
      </c>
      <c r="F355" s="408" t="s">
        <v>1914</v>
      </c>
      <c r="G355" s="413" t="s">
        <v>1914</v>
      </c>
      <c r="H355" s="408" t="s">
        <v>280</v>
      </c>
      <c r="I355" s="408" t="s">
        <v>280</v>
      </c>
      <c r="J355" s="380" t="s">
        <v>281</v>
      </c>
      <c r="K355" s="409" t="str">
        <f t="shared" si="9"/>
        <v/>
      </c>
    </row>
    <row r="356" spans="1:11" ht="15.75" customHeight="1">
      <c r="A356" s="445" t="s">
        <v>283</v>
      </c>
      <c r="B356" t="s">
        <v>1915</v>
      </c>
      <c r="C356" s="445" t="s">
        <v>1916</v>
      </c>
      <c r="D356" s="407" t="str">
        <f t="shared" si="8"/>
        <v>BGD Bangladesch</v>
      </c>
      <c r="E356" s="446" t="s">
        <v>1917</v>
      </c>
      <c r="F356" s="408" t="s">
        <v>1918</v>
      </c>
      <c r="G356" s="413" t="s">
        <v>1918</v>
      </c>
      <c r="H356" s="408" t="s">
        <v>1919</v>
      </c>
      <c r="I356" s="408" t="s">
        <v>282</v>
      </c>
      <c r="J356" s="380" t="s">
        <v>283</v>
      </c>
      <c r="K356" s="409" t="str">
        <f t="shared" si="9"/>
        <v/>
      </c>
    </row>
    <row r="357" spans="1:11" ht="15.75" customHeight="1">
      <c r="A357" s="445" t="s">
        <v>285</v>
      </c>
      <c r="B357" t="s">
        <v>1920</v>
      </c>
      <c r="C357" s="445" t="s">
        <v>1921</v>
      </c>
      <c r="D357" s="407" t="str">
        <f t="shared" si="8"/>
        <v>BGR Bulgarien</v>
      </c>
      <c r="E357" s="446" t="s">
        <v>1922</v>
      </c>
      <c r="F357" s="408" t="s">
        <v>1923</v>
      </c>
      <c r="G357" s="413" t="s">
        <v>1923</v>
      </c>
      <c r="H357" s="408" t="s">
        <v>284</v>
      </c>
      <c r="I357" s="408" t="s">
        <v>1924</v>
      </c>
      <c r="J357" s="380" t="s">
        <v>285</v>
      </c>
      <c r="K357" s="409" t="str">
        <f t="shared" si="9"/>
        <v/>
      </c>
    </row>
    <row r="358" spans="1:11" ht="15.75" customHeight="1">
      <c r="A358" s="445" t="s">
        <v>287</v>
      </c>
      <c r="B358" t="s">
        <v>1925</v>
      </c>
      <c r="C358" s="445" t="s">
        <v>1926</v>
      </c>
      <c r="D358" s="407" t="str">
        <f t="shared" si="8"/>
        <v>BHR Bahrain</v>
      </c>
      <c r="E358" s="446" t="s">
        <v>286</v>
      </c>
      <c r="F358" s="408" t="s">
        <v>1927</v>
      </c>
      <c r="G358" s="413" t="s">
        <v>1927</v>
      </c>
      <c r="H358" s="408" t="s">
        <v>1928</v>
      </c>
      <c r="I358" s="408" t="s">
        <v>1929</v>
      </c>
      <c r="J358" s="380" t="s">
        <v>287</v>
      </c>
      <c r="K358" s="409" t="str">
        <f t="shared" si="9"/>
        <v/>
      </c>
    </row>
    <row r="359" spans="1:11" ht="15.75" customHeight="1">
      <c r="A359" s="445" t="s">
        <v>289</v>
      </c>
      <c r="B359" t="s">
        <v>1930</v>
      </c>
      <c r="C359" s="445" t="s">
        <v>1931</v>
      </c>
      <c r="D359" s="407" t="str">
        <f t="shared" si="8"/>
        <v>BHS Bahamas</v>
      </c>
      <c r="E359" s="446" t="s">
        <v>1932</v>
      </c>
      <c r="F359" s="408" t="s">
        <v>1933</v>
      </c>
      <c r="G359" s="413" t="s">
        <v>1933</v>
      </c>
      <c r="H359" s="408" t="s">
        <v>1932</v>
      </c>
      <c r="I359" s="408" t="s">
        <v>1932</v>
      </c>
      <c r="J359" s="380" t="s">
        <v>289</v>
      </c>
      <c r="K359" s="409" t="str">
        <f t="shared" si="9"/>
        <v/>
      </c>
    </row>
    <row r="360" spans="1:11" ht="15.75" customHeight="1">
      <c r="A360" s="445" t="s">
        <v>291</v>
      </c>
      <c r="B360" t="s">
        <v>1934</v>
      </c>
      <c r="C360" s="445" t="s">
        <v>1935</v>
      </c>
      <c r="D360" s="407" t="str">
        <f t="shared" si="8"/>
        <v>BIH Bosnien und Herzegowina</v>
      </c>
      <c r="E360" s="446" t="s">
        <v>1936</v>
      </c>
      <c r="F360" s="408" t="s">
        <v>1937</v>
      </c>
      <c r="G360" s="413" t="s">
        <v>1938</v>
      </c>
      <c r="H360" s="408" t="s">
        <v>1939</v>
      </c>
      <c r="I360" s="408" t="s">
        <v>1940</v>
      </c>
      <c r="J360" s="380" t="s">
        <v>291</v>
      </c>
      <c r="K360" s="409" t="str">
        <f t="shared" si="9"/>
        <v/>
      </c>
    </row>
    <row r="361" spans="1:11" ht="15.75" customHeight="1">
      <c r="A361" s="445" t="s">
        <v>293</v>
      </c>
      <c r="B361" t="s">
        <v>1941</v>
      </c>
      <c r="C361" s="445" t="s">
        <v>1942</v>
      </c>
      <c r="D361" s="407" t="str">
        <f t="shared" si="8"/>
        <v>BLR Belarus</v>
      </c>
      <c r="E361" s="446" t="s">
        <v>292</v>
      </c>
      <c r="F361" s="408" t="s">
        <v>1943</v>
      </c>
      <c r="G361" s="413" t="s">
        <v>1944</v>
      </c>
      <c r="H361" s="408" t="s">
        <v>1945</v>
      </c>
      <c r="I361" s="408" t="s">
        <v>1946</v>
      </c>
      <c r="J361" s="380" t="s">
        <v>293</v>
      </c>
      <c r="K361" s="409" t="str">
        <f t="shared" si="9"/>
        <v/>
      </c>
    </row>
    <row r="362" spans="1:11" ht="15.75" customHeight="1">
      <c r="A362" s="445" t="s">
        <v>295</v>
      </c>
      <c r="B362" t="s">
        <v>1947</v>
      </c>
      <c r="C362" s="445" t="s">
        <v>1948</v>
      </c>
      <c r="D362" s="407" t="str">
        <f t="shared" si="8"/>
        <v>BLZ Belize</v>
      </c>
      <c r="E362" s="446" t="s">
        <v>294</v>
      </c>
      <c r="F362" s="408" t="s">
        <v>1949</v>
      </c>
      <c r="G362" s="413" t="s">
        <v>1949</v>
      </c>
      <c r="H362" s="408" t="s">
        <v>1950</v>
      </c>
      <c r="I362" s="408" t="s">
        <v>294</v>
      </c>
      <c r="J362" s="380" t="s">
        <v>295</v>
      </c>
      <c r="K362" s="409" t="str">
        <f t="shared" si="9"/>
        <v/>
      </c>
    </row>
    <row r="363" spans="1:11" ht="15.75" customHeight="1">
      <c r="A363" s="445" t="s">
        <v>297</v>
      </c>
      <c r="B363" t="s">
        <v>1951</v>
      </c>
      <c r="C363" s="445" t="s">
        <v>1952</v>
      </c>
      <c r="D363" s="407" t="str">
        <f t="shared" si="8"/>
        <v>BMU Bermuda</v>
      </c>
      <c r="E363" s="446" t="s">
        <v>296</v>
      </c>
      <c r="F363" s="408" t="s">
        <v>1953</v>
      </c>
      <c r="G363" s="413" t="s">
        <v>1953</v>
      </c>
      <c r="H363" s="408" t="s">
        <v>1954</v>
      </c>
      <c r="I363" s="408" t="s">
        <v>1955</v>
      </c>
      <c r="J363" s="380" t="s">
        <v>297</v>
      </c>
      <c r="K363" s="409" t="str">
        <f t="shared" si="9"/>
        <v/>
      </c>
    </row>
    <row r="364" spans="1:11" ht="15.75" customHeight="1">
      <c r="A364" s="445" t="s">
        <v>299</v>
      </c>
      <c r="B364" t="s">
        <v>1956</v>
      </c>
      <c r="C364" s="445" t="s">
        <v>1957</v>
      </c>
      <c r="D364" s="407" t="str">
        <f t="shared" si="8"/>
        <v>BOL Bolivien</v>
      </c>
      <c r="E364" s="446" t="s">
        <v>1958</v>
      </c>
      <c r="F364" s="408" t="s">
        <v>1959</v>
      </c>
      <c r="G364" s="413" t="s">
        <v>1960</v>
      </c>
      <c r="H364" s="408" t="s">
        <v>298</v>
      </c>
      <c r="I364" s="408" t="s">
        <v>1961</v>
      </c>
      <c r="J364" s="380" t="s">
        <v>299</v>
      </c>
      <c r="K364" s="409" t="str">
        <f t="shared" si="9"/>
        <v/>
      </c>
    </row>
    <row r="365" spans="1:11" ht="15.75" customHeight="1">
      <c r="A365" s="445" t="s">
        <v>301</v>
      </c>
      <c r="B365" t="s">
        <v>1962</v>
      </c>
      <c r="C365" s="445" t="s">
        <v>1963</v>
      </c>
      <c r="D365" s="407" t="str">
        <f t="shared" si="8"/>
        <v>BRA Brasilien</v>
      </c>
      <c r="E365" s="446" t="s">
        <v>1964</v>
      </c>
      <c r="F365" s="408" t="s">
        <v>1965</v>
      </c>
      <c r="G365" s="413" t="s">
        <v>1966</v>
      </c>
      <c r="H365" s="408" t="s">
        <v>1967</v>
      </c>
      <c r="I365" s="408" t="s">
        <v>1968</v>
      </c>
      <c r="J365" s="380" t="s">
        <v>301</v>
      </c>
      <c r="K365" s="409" t="str">
        <f t="shared" si="9"/>
        <v/>
      </c>
    </row>
    <row r="366" spans="1:11" ht="15.75" customHeight="1">
      <c r="A366" s="445" t="s">
        <v>303</v>
      </c>
      <c r="B366" t="s">
        <v>1969</v>
      </c>
      <c r="C366" s="445" t="s">
        <v>1970</v>
      </c>
      <c r="D366" s="407" t="str">
        <f t="shared" si="8"/>
        <v>BRB Barbados</v>
      </c>
      <c r="E366" s="446" t="s">
        <v>302</v>
      </c>
      <c r="F366" s="408" t="s">
        <v>1971</v>
      </c>
      <c r="G366" s="413" t="s">
        <v>1971</v>
      </c>
      <c r="H366" s="408" t="s">
        <v>302</v>
      </c>
      <c r="I366" s="408" t="s">
        <v>1972</v>
      </c>
      <c r="J366" s="380" t="s">
        <v>303</v>
      </c>
      <c r="K366" s="409" t="str">
        <f t="shared" si="9"/>
        <v/>
      </c>
    </row>
    <row r="367" spans="1:11" ht="15.75" customHeight="1">
      <c r="A367" s="445" t="s">
        <v>305</v>
      </c>
      <c r="B367" t="s">
        <v>1973</v>
      </c>
      <c r="C367" s="445" t="s">
        <v>1974</v>
      </c>
      <c r="D367" s="407" t="str">
        <f t="shared" si="8"/>
        <v>BRN Brunei Darussalam</v>
      </c>
      <c r="E367" s="446" t="s">
        <v>304</v>
      </c>
      <c r="F367" s="408" t="s">
        <v>1975</v>
      </c>
      <c r="G367" s="413" t="s">
        <v>1976</v>
      </c>
      <c r="H367" s="408" t="s">
        <v>1977</v>
      </c>
      <c r="I367" s="408" t="s">
        <v>1978</v>
      </c>
      <c r="J367" s="380" t="s">
        <v>305</v>
      </c>
      <c r="K367" s="409" t="str">
        <f t="shared" si="9"/>
        <v/>
      </c>
    </row>
    <row r="368" spans="1:11" ht="15.75" customHeight="1">
      <c r="A368" s="445" t="s">
        <v>307</v>
      </c>
      <c r="B368" t="s">
        <v>1979</v>
      </c>
      <c r="C368" s="445" t="s">
        <v>1980</v>
      </c>
      <c r="D368" s="407" t="str">
        <f t="shared" si="8"/>
        <v>BTN Bhutan</v>
      </c>
      <c r="E368" s="446" t="s">
        <v>306</v>
      </c>
      <c r="F368" s="408" t="s">
        <v>1981</v>
      </c>
      <c r="G368" s="413" t="s">
        <v>1981</v>
      </c>
      <c r="H368" s="408" t="s">
        <v>1982</v>
      </c>
      <c r="I368" s="408" t="s">
        <v>1983</v>
      </c>
      <c r="J368" s="380" t="s">
        <v>307</v>
      </c>
      <c r="K368" s="409" t="str">
        <f t="shared" si="9"/>
        <v/>
      </c>
    </row>
    <row r="369" spans="1:11" ht="15.75" customHeight="1">
      <c r="A369" s="445" t="s">
        <v>309</v>
      </c>
      <c r="B369" t="s">
        <v>1984</v>
      </c>
      <c r="C369" s="445" t="s">
        <v>1985</v>
      </c>
      <c r="D369" s="407" t="str">
        <f t="shared" si="8"/>
        <v>BWA Botswana</v>
      </c>
      <c r="E369" s="446" t="s">
        <v>308</v>
      </c>
      <c r="F369" s="408" t="s">
        <v>1986</v>
      </c>
      <c r="G369" s="413" t="s">
        <v>1986</v>
      </c>
      <c r="H369" s="408" t="s">
        <v>1987</v>
      </c>
      <c r="I369" s="408" t="s">
        <v>308</v>
      </c>
      <c r="J369" s="380" t="s">
        <v>309</v>
      </c>
      <c r="K369" s="409" t="str">
        <f t="shared" si="9"/>
        <v/>
      </c>
    </row>
    <row r="370" spans="1:11" ht="15.75" customHeight="1">
      <c r="A370" s="445" t="s">
        <v>311</v>
      </c>
      <c r="B370" t="s">
        <v>1988</v>
      </c>
      <c r="C370" s="445" t="s">
        <v>1989</v>
      </c>
      <c r="D370" s="407" t="str">
        <f t="shared" si="8"/>
        <v>CAF Zentralafrikanische Republik</v>
      </c>
      <c r="E370" s="446" t="s">
        <v>1990</v>
      </c>
      <c r="F370" s="408" t="s">
        <v>1991</v>
      </c>
      <c r="G370" s="413" t="s">
        <v>1992</v>
      </c>
      <c r="H370" s="408" t="s">
        <v>1993</v>
      </c>
      <c r="I370" s="408" t="s">
        <v>3336</v>
      </c>
      <c r="J370" s="380" t="s">
        <v>311</v>
      </c>
      <c r="K370" s="409" t="str">
        <f t="shared" si="9"/>
        <v/>
      </c>
    </row>
    <row r="371" spans="1:11" ht="15.75" customHeight="1">
      <c r="A371" s="445" t="s">
        <v>313</v>
      </c>
      <c r="B371" t="s">
        <v>1994</v>
      </c>
      <c r="C371" s="445" t="s">
        <v>1995</v>
      </c>
      <c r="D371" s="407" t="str">
        <f t="shared" si="8"/>
        <v>CAN Kanada</v>
      </c>
      <c r="E371" s="446" t="s">
        <v>1996</v>
      </c>
      <c r="F371" s="408" t="s">
        <v>1997</v>
      </c>
      <c r="G371" s="413" t="s">
        <v>1997</v>
      </c>
      <c r="H371" s="408" t="s">
        <v>1998</v>
      </c>
      <c r="I371" s="408" t="s">
        <v>312</v>
      </c>
      <c r="J371" s="380" t="s">
        <v>313</v>
      </c>
      <c r="K371" s="409" t="str">
        <f t="shared" si="9"/>
        <v/>
      </c>
    </row>
    <row r="372" spans="1:11" ht="15.75" customHeight="1">
      <c r="A372" s="445" t="s">
        <v>315</v>
      </c>
      <c r="B372" t="s">
        <v>1999</v>
      </c>
      <c r="C372" s="445" t="s">
        <v>2000</v>
      </c>
      <c r="D372" s="407" t="str">
        <f t="shared" si="8"/>
        <v>CHE Schweiz (Confoederatio Helvetica)</v>
      </c>
      <c r="E372" s="446" t="s">
        <v>2001</v>
      </c>
      <c r="F372" s="408" t="s">
        <v>2002</v>
      </c>
      <c r="G372" s="413" t="s">
        <v>2003</v>
      </c>
      <c r="H372" s="408" t="s">
        <v>2004</v>
      </c>
      <c r="I372" s="408" t="s">
        <v>3337</v>
      </c>
      <c r="J372" s="380" t="s">
        <v>315</v>
      </c>
      <c r="K372" s="409" t="str">
        <f t="shared" si="9"/>
        <v/>
      </c>
    </row>
    <row r="373" spans="1:11" ht="15.75" customHeight="1">
      <c r="A373" s="445" t="s">
        <v>317</v>
      </c>
      <c r="B373" t="s">
        <v>2005</v>
      </c>
      <c r="C373" s="445" t="s">
        <v>2006</v>
      </c>
      <c r="D373" s="407" t="str">
        <f t="shared" si="8"/>
        <v>CHL Chile</v>
      </c>
      <c r="E373" s="446" t="s">
        <v>316</v>
      </c>
      <c r="F373" s="408" t="s">
        <v>2007</v>
      </c>
      <c r="G373" s="413" t="s">
        <v>2008</v>
      </c>
      <c r="H373" s="408" t="s">
        <v>316</v>
      </c>
      <c r="I373" s="408" t="s">
        <v>2009</v>
      </c>
      <c r="J373" s="380" t="s">
        <v>317</v>
      </c>
      <c r="K373" s="409" t="str">
        <f t="shared" si="9"/>
        <v/>
      </c>
    </row>
    <row r="374" spans="1:11" ht="15.75" customHeight="1">
      <c r="A374" s="445" t="s">
        <v>319</v>
      </c>
      <c r="B374" t="s">
        <v>2010</v>
      </c>
      <c r="C374" s="445" t="s">
        <v>2011</v>
      </c>
      <c r="D374" s="407" t="str">
        <f t="shared" si="8"/>
        <v>CHN China, Volksrepublik</v>
      </c>
      <c r="E374" s="446" t="s">
        <v>2012</v>
      </c>
      <c r="F374" s="408" t="s">
        <v>2013</v>
      </c>
      <c r="G374" s="413" t="s">
        <v>2014</v>
      </c>
      <c r="H374" s="408" t="s">
        <v>318</v>
      </c>
      <c r="I374" s="408" t="s">
        <v>2015</v>
      </c>
      <c r="J374" s="380" t="s">
        <v>319</v>
      </c>
      <c r="K374" s="409" t="str">
        <f t="shared" si="9"/>
        <v/>
      </c>
    </row>
    <row r="375" spans="1:11" ht="15.75" customHeight="1">
      <c r="A375" s="445" t="s">
        <v>321</v>
      </c>
      <c r="B375" t="s">
        <v>2016</v>
      </c>
      <c r="C375" s="445" t="s">
        <v>2017</v>
      </c>
      <c r="D375" s="407" t="str">
        <f t="shared" si="8"/>
        <v>CIV Côte d’Ivoire (Elfenbeinküste)</v>
      </c>
      <c r="E375" s="446" t="s">
        <v>2018</v>
      </c>
      <c r="F375" s="408" t="s">
        <v>2019</v>
      </c>
      <c r="G375" s="413" t="s">
        <v>2020</v>
      </c>
      <c r="H375" s="408" t="s">
        <v>2021</v>
      </c>
      <c r="I375" s="408" t="s">
        <v>2022</v>
      </c>
      <c r="J375" s="380" t="s">
        <v>321</v>
      </c>
      <c r="K375" s="409" t="str">
        <f t="shared" si="9"/>
        <v/>
      </c>
    </row>
    <row r="376" spans="1:11" ht="15.75" customHeight="1">
      <c r="A376" s="445" t="s">
        <v>323</v>
      </c>
      <c r="B376" t="s">
        <v>2023</v>
      </c>
      <c r="C376" s="445" t="s">
        <v>2024</v>
      </c>
      <c r="D376" s="407" t="str">
        <f t="shared" si="8"/>
        <v>CMR Kamerun</v>
      </c>
      <c r="E376" s="446" t="s">
        <v>2025</v>
      </c>
      <c r="F376" s="408" t="s">
        <v>2026</v>
      </c>
      <c r="G376" s="413" t="s">
        <v>2027</v>
      </c>
      <c r="H376" s="408" t="s">
        <v>2028</v>
      </c>
      <c r="I376" s="408" t="s">
        <v>2029</v>
      </c>
      <c r="J376" s="380" t="s">
        <v>323</v>
      </c>
      <c r="K376" s="409" t="str">
        <f t="shared" si="9"/>
        <v/>
      </c>
    </row>
    <row r="377" spans="1:11" ht="15.75" customHeight="1">
      <c r="A377" s="445" t="s">
        <v>325</v>
      </c>
      <c r="B377" t="s">
        <v>2030</v>
      </c>
      <c r="C377" s="445" t="s">
        <v>2031</v>
      </c>
      <c r="D377" s="407" t="str">
        <f t="shared" si="8"/>
        <v>COD Kongo, Demokratische Republik (ehem. Zaire)</v>
      </c>
      <c r="E377" s="446" t="s">
        <v>2032</v>
      </c>
      <c r="F377" s="408" t="s">
        <v>2033</v>
      </c>
      <c r="G377" s="413" t="s">
        <v>2034</v>
      </c>
      <c r="H377" s="408" t="s">
        <v>2035</v>
      </c>
      <c r="I377" s="408" t="s">
        <v>2036</v>
      </c>
      <c r="J377" s="380" t="s">
        <v>325</v>
      </c>
      <c r="K377" s="409" t="str">
        <f t="shared" si="9"/>
        <v/>
      </c>
    </row>
    <row r="378" spans="1:11" ht="15.75" customHeight="1">
      <c r="A378" s="445" t="s">
        <v>327</v>
      </c>
      <c r="B378" t="s">
        <v>2037</v>
      </c>
      <c r="C378" s="445" t="s">
        <v>2038</v>
      </c>
      <c r="D378" s="407" t="str">
        <f t="shared" si="8"/>
        <v>COG Republik Kongo</v>
      </c>
      <c r="E378" s="446" t="s">
        <v>2039</v>
      </c>
      <c r="F378" s="408" t="s">
        <v>2040</v>
      </c>
      <c r="G378" s="413" t="s">
        <v>2041</v>
      </c>
      <c r="H378" s="408" t="s">
        <v>2042</v>
      </c>
      <c r="I378" s="408" t="s">
        <v>2043</v>
      </c>
      <c r="J378" s="380" t="s">
        <v>327</v>
      </c>
      <c r="K378" s="409" t="str">
        <f t="shared" si="9"/>
        <v/>
      </c>
    </row>
    <row r="379" spans="1:11" ht="15.75" customHeight="1">
      <c r="A379" s="445" t="s">
        <v>329</v>
      </c>
      <c r="B379" t="s">
        <v>2044</v>
      </c>
      <c r="C379" s="445" t="s">
        <v>2045</v>
      </c>
      <c r="D379" s="407" t="str">
        <f t="shared" si="8"/>
        <v>COL Kolumbien</v>
      </c>
      <c r="E379" s="446" t="s">
        <v>2046</v>
      </c>
      <c r="F379" s="408" t="s">
        <v>2047</v>
      </c>
      <c r="G379" s="413" t="s">
        <v>2047</v>
      </c>
      <c r="H379" s="408" t="s">
        <v>328</v>
      </c>
      <c r="I379" s="408" t="s">
        <v>2048</v>
      </c>
      <c r="J379" s="380" t="s">
        <v>329</v>
      </c>
      <c r="K379" s="409" t="str">
        <f t="shared" si="9"/>
        <v/>
      </c>
    </row>
    <row r="380" spans="1:11" ht="15.75" customHeight="1">
      <c r="A380" s="445" t="s">
        <v>331</v>
      </c>
      <c r="B380" t="s">
        <v>2049</v>
      </c>
      <c r="C380" s="445" t="s">
        <v>2050</v>
      </c>
      <c r="D380" s="407" t="str">
        <f t="shared" si="8"/>
        <v>COM Komoren</v>
      </c>
      <c r="E380" s="446" t="s">
        <v>2051</v>
      </c>
      <c r="F380" s="408" t="s">
        <v>2052</v>
      </c>
      <c r="G380" s="413" t="s">
        <v>2053</v>
      </c>
      <c r="H380" s="408" t="s">
        <v>2054</v>
      </c>
      <c r="I380" s="408" t="s">
        <v>2055</v>
      </c>
      <c r="J380" s="380" t="s">
        <v>331</v>
      </c>
      <c r="K380" s="409" t="str">
        <f t="shared" si="9"/>
        <v/>
      </c>
    </row>
    <row r="381" spans="1:11" ht="15.75" customHeight="1">
      <c r="A381" s="445" t="s">
        <v>333</v>
      </c>
      <c r="B381" t="s">
        <v>2056</v>
      </c>
      <c r="C381" s="445" t="s">
        <v>2057</v>
      </c>
      <c r="D381" s="407" t="str">
        <f t="shared" si="8"/>
        <v>CPV Kap Verde</v>
      </c>
      <c r="E381" s="446" t="s">
        <v>2058</v>
      </c>
      <c r="F381" s="408" t="s">
        <v>2059</v>
      </c>
      <c r="G381" s="413" t="s">
        <v>2060</v>
      </c>
      <c r="H381" s="408" t="s">
        <v>332</v>
      </c>
      <c r="I381" s="408" t="s">
        <v>2061</v>
      </c>
      <c r="J381" s="380" t="s">
        <v>333</v>
      </c>
      <c r="K381" s="409" t="str">
        <f t="shared" si="9"/>
        <v/>
      </c>
    </row>
    <row r="382" spans="1:11" ht="15.75" customHeight="1">
      <c r="A382" s="445" t="s">
        <v>335</v>
      </c>
      <c r="B382" t="s">
        <v>2062</v>
      </c>
      <c r="C382" s="445" t="s">
        <v>2063</v>
      </c>
      <c r="D382" s="407" t="str">
        <f t="shared" si="8"/>
        <v>CRI Costa Rica</v>
      </c>
      <c r="E382" s="446" t="s">
        <v>334</v>
      </c>
      <c r="F382" s="408" t="s">
        <v>2064</v>
      </c>
      <c r="G382" s="413" t="s">
        <v>2064</v>
      </c>
      <c r="H382" s="408" t="s">
        <v>334</v>
      </c>
      <c r="I382" s="408" t="s">
        <v>334</v>
      </c>
      <c r="J382" s="380" t="s">
        <v>335</v>
      </c>
      <c r="K382" s="409" t="str">
        <f t="shared" si="9"/>
        <v/>
      </c>
    </row>
    <row r="383" spans="1:11" ht="15.75" customHeight="1">
      <c r="A383" s="445" t="s">
        <v>337</v>
      </c>
      <c r="B383" t="s">
        <v>2065</v>
      </c>
      <c r="C383" s="445" t="s">
        <v>2066</v>
      </c>
      <c r="D383" s="407" t="str">
        <f t="shared" si="8"/>
        <v>CUB Kuba</v>
      </c>
      <c r="E383" s="446" t="s">
        <v>2067</v>
      </c>
      <c r="F383" s="408" t="s">
        <v>2068</v>
      </c>
      <c r="G383" s="413" t="s">
        <v>2068</v>
      </c>
      <c r="H383" s="408" t="s">
        <v>336</v>
      </c>
      <c r="I383" s="408" t="s">
        <v>336</v>
      </c>
      <c r="J383" s="380" t="s">
        <v>337</v>
      </c>
      <c r="K383" s="409" t="str">
        <f t="shared" si="9"/>
        <v/>
      </c>
    </row>
    <row r="384" spans="1:11" ht="15.75" customHeight="1">
      <c r="A384" s="445" t="s">
        <v>339</v>
      </c>
      <c r="B384" t="s">
        <v>2069</v>
      </c>
      <c r="C384" s="445" t="s">
        <v>2070</v>
      </c>
      <c r="D384" s="407" t="str">
        <f t="shared" si="8"/>
        <v>CUW Curaçao</v>
      </c>
      <c r="E384" s="405" t="s">
        <v>2071</v>
      </c>
      <c r="F384" s="408" t="s">
        <v>2072</v>
      </c>
      <c r="G384" s="413" t="s">
        <v>2072</v>
      </c>
      <c r="H384" s="408" t="s">
        <v>2073</v>
      </c>
      <c r="I384" s="408" t="s">
        <v>2071</v>
      </c>
      <c r="J384" s="380" t="s">
        <v>339</v>
      </c>
      <c r="K384" s="409" t="str">
        <f t="shared" si="9"/>
        <v/>
      </c>
    </row>
    <row r="385" spans="1:11" ht="15.75" customHeight="1">
      <c r="A385" s="445" t="s">
        <v>341</v>
      </c>
      <c r="B385" t="s">
        <v>2074</v>
      </c>
      <c r="C385" s="445" t="s">
        <v>2075</v>
      </c>
      <c r="D385" s="407" t="str">
        <f t="shared" si="8"/>
        <v>CYM Kaimaninseln</v>
      </c>
      <c r="E385" s="446" t="s">
        <v>2076</v>
      </c>
      <c r="F385" s="408" t="s">
        <v>2077</v>
      </c>
      <c r="G385" s="413" t="s">
        <v>2078</v>
      </c>
      <c r="H385" s="408" t="s">
        <v>2079</v>
      </c>
      <c r="I385" s="408" t="s">
        <v>2080</v>
      </c>
      <c r="J385" s="380" t="s">
        <v>341</v>
      </c>
      <c r="K385" s="409" t="str">
        <f t="shared" si="9"/>
        <v/>
      </c>
    </row>
    <row r="386" spans="1:11" ht="15.75" customHeight="1">
      <c r="A386" s="445" t="s">
        <v>343</v>
      </c>
      <c r="B386" t="s">
        <v>2081</v>
      </c>
      <c r="C386" s="445" t="s">
        <v>2082</v>
      </c>
      <c r="D386" s="407" t="str">
        <f t="shared" si="8"/>
        <v>CYP Zypern</v>
      </c>
      <c r="E386" s="446" t="s">
        <v>2083</v>
      </c>
      <c r="F386" s="408" t="s">
        <v>2084</v>
      </c>
      <c r="G386" s="413" t="s">
        <v>2085</v>
      </c>
      <c r="H386" s="408" t="s">
        <v>2086</v>
      </c>
      <c r="I386" s="408" t="s">
        <v>2087</v>
      </c>
      <c r="J386" s="380" t="s">
        <v>343</v>
      </c>
      <c r="K386" s="409" t="str">
        <f t="shared" si="9"/>
        <v/>
      </c>
    </row>
    <row r="387" spans="1:11" ht="15.75" customHeight="1">
      <c r="A387" s="445" t="s">
        <v>345</v>
      </c>
      <c r="B387" t="s">
        <v>2088</v>
      </c>
      <c r="C387" s="445" t="s">
        <v>2089</v>
      </c>
      <c r="D387" s="407" t="str">
        <f t="shared" si="8"/>
        <v>CZE Tschechische Republik</v>
      </c>
      <c r="E387" s="446" t="s">
        <v>2090</v>
      </c>
      <c r="F387" s="408" t="s">
        <v>2091</v>
      </c>
      <c r="G387" s="413" t="s">
        <v>2092</v>
      </c>
      <c r="H387" s="408" t="s">
        <v>2093</v>
      </c>
      <c r="I387" s="408" t="s">
        <v>2094</v>
      </c>
      <c r="J387" s="380" t="s">
        <v>345</v>
      </c>
      <c r="K387" s="409" t="str">
        <f t="shared" si="9"/>
        <v/>
      </c>
    </row>
    <row r="388" spans="1:11" ht="15.75" customHeight="1">
      <c r="A388" s="445" t="s">
        <v>347</v>
      </c>
      <c r="B388" t="s">
        <v>2095</v>
      </c>
      <c r="C388" s="445" t="s">
        <v>2096</v>
      </c>
      <c r="D388" s="407" t="str">
        <f t="shared" si="8"/>
        <v>DEU Deutschland</v>
      </c>
      <c r="E388" s="446" t="s">
        <v>2097</v>
      </c>
      <c r="F388" s="408" t="s">
        <v>2098</v>
      </c>
      <c r="G388" s="413" t="s">
        <v>2099</v>
      </c>
      <c r="H388" s="408" t="s">
        <v>2100</v>
      </c>
      <c r="I388" s="408" t="s">
        <v>2101</v>
      </c>
      <c r="J388" s="380" t="s">
        <v>347</v>
      </c>
      <c r="K388" s="409" t="str">
        <f t="shared" si="9"/>
        <v/>
      </c>
    </row>
    <row r="389" spans="1:11" ht="15.75" customHeight="1">
      <c r="A389" s="445" t="s">
        <v>349</v>
      </c>
      <c r="B389" t="s">
        <v>2102</v>
      </c>
      <c r="C389" s="445" t="s">
        <v>2103</v>
      </c>
      <c r="D389" s="407" t="str">
        <f t="shared" si="8"/>
        <v>DJI Dschibuti</v>
      </c>
      <c r="E389" s="446" t="s">
        <v>2104</v>
      </c>
      <c r="F389" s="408" t="s">
        <v>2105</v>
      </c>
      <c r="G389" s="413" t="s">
        <v>2106</v>
      </c>
      <c r="H389" s="408" t="s">
        <v>2107</v>
      </c>
      <c r="I389" s="408" t="s">
        <v>348</v>
      </c>
      <c r="J389" s="380" t="s">
        <v>349</v>
      </c>
      <c r="K389" s="409" t="str">
        <f t="shared" si="9"/>
        <v/>
      </c>
    </row>
    <row r="390" spans="1:11" ht="15.75" customHeight="1">
      <c r="A390" s="445" t="s">
        <v>351</v>
      </c>
      <c r="B390" t="s">
        <v>2108</v>
      </c>
      <c r="C390" s="445" t="s">
        <v>2109</v>
      </c>
      <c r="D390" s="407" t="str">
        <f t="shared" si="8"/>
        <v>DMA Dominica</v>
      </c>
      <c r="E390" s="446" t="s">
        <v>350</v>
      </c>
      <c r="F390" s="408" t="s">
        <v>2110</v>
      </c>
      <c r="G390" s="413" t="s">
        <v>2110</v>
      </c>
      <c r="H390" s="408" t="s">
        <v>350</v>
      </c>
      <c r="I390" s="408" t="s">
        <v>2111</v>
      </c>
      <c r="J390" s="380" t="s">
        <v>351</v>
      </c>
      <c r="K390" s="409" t="str">
        <f t="shared" si="9"/>
        <v/>
      </c>
    </row>
    <row r="391" spans="1:11" ht="15.75" customHeight="1">
      <c r="A391" s="445" t="s">
        <v>353</v>
      </c>
      <c r="B391" t="s">
        <v>2112</v>
      </c>
      <c r="C391" s="445" t="s">
        <v>2113</v>
      </c>
      <c r="D391" s="407" t="str">
        <f t="shared" si="8"/>
        <v>DNK Dänemark</v>
      </c>
      <c r="E391" s="446" t="s">
        <v>2114</v>
      </c>
      <c r="F391" s="408" t="s">
        <v>2115</v>
      </c>
      <c r="G391" s="413" t="s">
        <v>2116</v>
      </c>
      <c r="H391" s="408" t="s">
        <v>2117</v>
      </c>
      <c r="I391" s="408" t="s">
        <v>2118</v>
      </c>
      <c r="J391" s="380" t="s">
        <v>353</v>
      </c>
      <c r="K391" s="409" t="str">
        <f t="shared" si="9"/>
        <v/>
      </c>
    </row>
    <row r="392" spans="1:11" ht="15.75" customHeight="1">
      <c r="A392" s="445" t="s">
        <v>355</v>
      </c>
      <c r="B392" t="s">
        <v>2119</v>
      </c>
      <c r="C392" s="445" t="s">
        <v>2120</v>
      </c>
      <c r="D392" s="407" t="str">
        <f t="shared" si="8"/>
        <v>DOM Dominikanische Republik</v>
      </c>
      <c r="E392" s="446" t="s">
        <v>2121</v>
      </c>
      <c r="F392" s="408" t="s">
        <v>2122</v>
      </c>
      <c r="G392" s="413" t="s">
        <v>2123</v>
      </c>
      <c r="H392" s="408" t="s">
        <v>2124</v>
      </c>
      <c r="I392" s="408" t="s">
        <v>2125</v>
      </c>
      <c r="J392" s="380" t="s">
        <v>355</v>
      </c>
      <c r="K392" s="409" t="str">
        <f t="shared" si="9"/>
        <v/>
      </c>
    </row>
    <row r="393" spans="1:11" ht="15.75" customHeight="1">
      <c r="A393" s="445" t="s">
        <v>357</v>
      </c>
      <c r="B393" t="s">
        <v>2126</v>
      </c>
      <c r="C393" s="445" t="s">
        <v>2127</v>
      </c>
      <c r="D393" s="407" t="str">
        <f t="shared" si="8"/>
        <v>DZA Algerien</v>
      </c>
      <c r="E393" s="446" t="s">
        <v>2128</v>
      </c>
      <c r="F393" s="408" t="s">
        <v>2129</v>
      </c>
      <c r="G393" s="413" t="s">
        <v>2129</v>
      </c>
      <c r="H393" s="408" t="s">
        <v>2130</v>
      </c>
      <c r="I393" s="408" t="s">
        <v>2131</v>
      </c>
      <c r="J393" s="380" t="s">
        <v>357</v>
      </c>
      <c r="K393" s="409" t="str">
        <f t="shared" si="9"/>
        <v/>
      </c>
    </row>
    <row r="394" spans="1:11" ht="15.75" customHeight="1">
      <c r="A394" s="445" t="s">
        <v>359</v>
      </c>
      <c r="B394" t="s">
        <v>2132</v>
      </c>
      <c r="C394" s="445" t="s">
        <v>2133</v>
      </c>
      <c r="D394" s="407" t="str">
        <f t="shared" si="8"/>
        <v>ECU Ecuador</v>
      </c>
      <c r="E394" s="446" t="s">
        <v>358</v>
      </c>
      <c r="F394" s="408" t="s">
        <v>2134</v>
      </c>
      <c r="G394" s="413" t="s">
        <v>2134</v>
      </c>
      <c r="H394" s="408" t="s">
        <v>358</v>
      </c>
      <c r="I394" s="408" t="s">
        <v>2135</v>
      </c>
      <c r="J394" s="380" t="s">
        <v>359</v>
      </c>
      <c r="K394" s="409" t="str">
        <f t="shared" si="9"/>
        <v/>
      </c>
    </row>
    <row r="395" spans="1:11" ht="15.75" customHeight="1">
      <c r="A395" s="445" t="s">
        <v>361</v>
      </c>
      <c r="B395" t="s">
        <v>2136</v>
      </c>
      <c r="C395" s="445" t="s">
        <v>2137</v>
      </c>
      <c r="D395" s="407" t="str">
        <f t="shared" si="8"/>
        <v>EGY Ägypten</v>
      </c>
      <c r="E395" s="446" t="s">
        <v>2138</v>
      </c>
      <c r="F395" s="408" t="s">
        <v>2139</v>
      </c>
      <c r="G395" s="413" t="s">
        <v>2140</v>
      </c>
      <c r="H395" s="408" t="s">
        <v>2141</v>
      </c>
      <c r="I395" s="408" t="s">
        <v>2142</v>
      </c>
      <c r="J395" s="380" t="s">
        <v>361</v>
      </c>
      <c r="K395" s="409" t="str">
        <f t="shared" si="9"/>
        <v/>
      </c>
    </row>
    <row r="396" spans="1:11" ht="15.75" customHeight="1">
      <c r="A396" s="445" t="s">
        <v>363</v>
      </c>
      <c r="B396" t="s">
        <v>2143</v>
      </c>
      <c r="C396" s="445" t="s">
        <v>2144</v>
      </c>
      <c r="D396" s="407" t="str">
        <f t="shared" si="8"/>
        <v>ERI Eritrea</v>
      </c>
      <c r="E396" s="446" t="s">
        <v>362</v>
      </c>
      <c r="F396" s="408" t="s">
        <v>2145</v>
      </c>
      <c r="G396" s="413" t="s">
        <v>2145</v>
      </c>
      <c r="H396" s="408" t="s">
        <v>362</v>
      </c>
      <c r="I396" s="408" t="s">
        <v>2146</v>
      </c>
      <c r="J396" s="380" t="s">
        <v>363</v>
      </c>
      <c r="K396" s="409" t="str">
        <f t="shared" si="9"/>
        <v/>
      </c>
    </row>
    <row r="397" spans="1:11" ht="15.75" customHeight="1">
      <c r="A397" s="445" t="s">
        <v>365</v>
      </c>
      <c r="B397" t="s">
        <v>2147</v>
      </c>
      <c r="C397" s="445" t="s">
        <v>2148</v>
      </c>
      <c r="D397" s="407" t="str">
        <f t="shared" si="8"/>
        <v>ESP Spanien</v>
      </c>
      <c r="E397" s="446" t="s">
        <v>2149</v>
      </c>
      <c r="F397" s="408" t="s">
        <v>2150</v>
      </c>
      <c r="G397" s="413" t="s">
        <v>2151</v>
      </c>
      <c r="H397" s="408" t="s">
        <v>2152</v>
      </c>
      <c r="I397" s="408" t="s">
        <v>2153</v>
      </c>
      <c r="J397" s="380" t="s">
        <v>365</v>
      </c>
      <c r="K397" s="409" t="str">
        <f t="shared" si="9"/>
        <v/>
      </c>
    </row>
    <row r="398" spans="1:11" ht="15.75" customHeight="1">
      <c r="A398" s="445" t="s">
        <v>367</v>
      </c>
      <c r="B398" t="s">
        <v>2154</v>
      </c>
      <c r="C398" s="445" t="s">
        <v>2155</v>
      </c>
      <c r="D398" s="407" t="str">
        <f t="shared" si="8"/>
        <v>EST Estland</v>
      </c>
      <c r="E398" s="446" t="s">
        <v>2156</v>
      </c>
      <c r="F398" s="408" t="s">
        <v>2157</v>
      </c>
      <c r="G398" s="413" t="s">
        <v>2157</v>
      </c>
      <c r="H398" s="408" t="s">
        <v>366</v>
      </c>
      <c r="I398" s="408" t="s">
        <v>2158</v>
      </c>
      <c r="J398" s="380" t="s">
        <v>367</v>
      </c>
      <c r="K398" s="409" t="str">
        <f t="shared" si="9"/>
        <v/>
      </c>
    </row>
    <row r="399" spans="1:11" ht="15.75" customHeight="1">
      <c r="A399" s="445" t="s">
        <v>369</v>
      </c>
      <c r="B399" t="s">
        <v>2159</v>
      </c>
      <c r="C399" s="445" t="s">
        <v>2160</v>
      </c>
      <c r="D399" s="407" t="str">
        <f t="shared" si="8"/>
        <v>ETH Äthiopien</v>
      </c>
      <c r="E399" s="446" t="s">
        <v>2161</v>
      </c>
      <c r="F399" s="408" t="s">
        <v>2162</v>
      </c>
      <c r="G399" s="413" t="s">
        <v>2163</v>
      </c>
      <c r="H399" s="408" t="s">
        <v>2164</v>
      </c>
      <c r="I399" s="408" t="s">
        <v>2165</v>
      </c>
      <c r="J399" s="380" t="s">
        <v>369</v>
      </c>
      <c r="K399" s="409" t="str">
        <f t="shared" si="9"/>
        <v/>
      </c>
    </row>
    <row r="400" spans="1:11" ht="15.75" customHeight="1">
      <c r="A400" s="445" t="s">
        <v>371</v>
      </c>
      <c r="B400" t="s">
        <v>2166</v>
      </c>
      <c r="C400" s="445" t="s">
        <v>2167</v>
      </c>
      <c r="D400" s="407" t="str">
        <f t="shared" si="8"/>
        <v>FIN Finnland</v>
      </c>
      <c r="E400" s="446" t="s">
        <v>2168</v>
      </c>
      <c r="F400" s="408" t="s">
        <v>2169</v>
      </c>
      <c r="G400" s="413" t="s">
        <v>2170</v>
      </c>
      <c r="H400" s="408" t="s">
        <v>2171</v>
      </c>
      <c r="I400" s="408" t="s">
        <v>2172</v>
      </c>
      <c r="J400" s="380" t="s">
        <v>371</v>
      </c>
      <c r="K400" s="409" t="str">
        <f t="shared" si="9"/>
        <v/>
      </c>
    </row>
    <row r="401" spans="1:11" ht="28.5" customHeight="1">
      <c r="A401" s="445" t="s">
        <v>373</v>
      </c>
      <c r="B401" t="s">
        <v>2173</v>
      </c>
      <c r="C401" s="445" t="s">
        <v>2174</v>
      </c>
      <c r="D401" s="407" t="str">
        <f t="shared" si="8"/>
        <v>FJI Fidschi</v>
      </c>
      <c r="E401" s="446" t="s">
        <v>2175</v>
      </c>
      <c r="F401" s="408" t="s">
        <v>2176</v>
      </c>
      <c r="G401" s="413" t="s">
        <v>2177</v>
      </c>
      <c r="H401" s="408" t="s">
        <v>2178</v>
      </c>
      <c r="I401" s="408" t="s">
        <v>372</v>
      </c>
      <c r="J401" s="380" t="s">
        <v>373</v>
      </c>
      <c r="K401" s="409" t="str">
        <f t="shared" si="9"/>
        <v/>
      </c>
    </row>
    <row r="402" spans="1:11" ht="15.75" customHeight="1">
      <c r="A402" s="445" t="s">
        <v>375</v>
      </c>
      <c r="B402" t="s">
        <v>2179</v>
      </c>
      <c r="C402" s="445" t="s">
        <v>2180</v>
      </c>
      <c r="D402" s="407" t="str">
        <f t="shared" si="8"/>
        <v>FRA Frankreich</v>
      </c>
      <c r="E402" s="446" t="s">
        <v>2181</v>
      </c>
      <c r="F402" s="408" t="s">
        <v>2182</v>
      </c>
      <c r="G402" s="413" t="s">
        <v>2183</v>
      </c>
      <c r="H402" s="408" t="s">
        <v>2184</v>
      </c>
      <c r="I402" s="408" t="s">
        <v>374</v>
      </c>
      <c r="J402" s="380" t="s">
        <v>375</v>
      </c>
      <c r="K402" s="409" t="str">
        <f t="shared" si="9"/>
        <v/>
      </c>
    </row>
    <row r="403" spans="1:11" ht="15.75" customHeight="1">
      <c r="A403" s="445" t="s">
        <v>377</v>
      </c>
      <c r="B403" t="s">
        <v>2185</v>
      </c>
      <c r="C403" s="445" t="s">
        <v>2186</v>
      </c>
      <c r="D403" s="407" t="str">
        <f t="shared" ref="D403:D466" si="10">A403&amp;" "&amp;HLOOKUP($C$1,$E$1:$V$4910,ROW(D403))</f>
        <v>FRO Färöer</v>
      </c>
      <c r="E403" s="446" t="s">
        <v>2187</v>
      </c>
      <c r="F403" s="408" t="s">
        <v>2188</v>
      </c>
      <c r="G403" s="413" t="s">
        <v>2189</v>
      </c>
      <c r="H403" s="408" t="s">
        <v>2190</v>
      </c>
      <c r="I403" s="408" t="s">
        <v>2191</v>
      </c>
      <c r="J403" s="380" t="s">
        <v>377</v>
      </c>
      <c r="K403" s="409" t="str">
        <f t="shared" ref="K403:K466" si="11">IF(J403=A403,"","nix")</f>
        <v/>
      </c>
    </row>
    <row r="404" spans="1:11" ht="15.75" customHeight="1">
      <c r="A404" s="445" t="s">
        <v>379</v>
      </c>
      <c r="B404" t="s">
        <v>2192</v>
      </c>
      <c r="C404" s="445" t="s">
        <v>2193</v>
      </c>
      <c r="D404" s="407" t="str">
        <f t="shared" si="10"/>
        <v>FSM Mikronesien</v>
      </c>
      <c r="E404" s="446" t="s">
        <v>2194</v>
      </c>
      <c r="F404" s="408" t="s">
        <v>2195</v>
      </c>
      <c r="G404" s="413" t="s">
        <v>2196</v>
      </c>
      <c r="H404" s="408" t="s">
        <v>2197</v>
      </c>
      <c r="I404" s="408" t="s">
        <v>2198</v>
      </c>
      <c r="J404" s="380" t="s">
        <v>379</v>
      </c>
      <c r="K404" s="409" t="str">
        <f t="shared" si="11"/>
        <v/>
      </c>
    </row>
    <row r="405" spans="1:11" ht="15.75" customHeight="1">
      <c r="A405" s="445" t="s">
        <v>381</v>
      </c>
      <c r="B405" t="s">
        <v>2199</v>
      </c>
      <c r="C405" s="445" t="s">
        <v>2200</v>
      </c>
      <c r="D405" s="407" t="str">
        <f t="shared" si="10"/>
        <v>GAB Gabun</v>
      </c>
      <c r="E405" s="446" t="s">
        <v>2201</v>
      </c>
      <c r="F405" s="408" t="s">
        <v>2202</v>
      </c>
      <c r="G405" s="413" t="s">
        <v>2202</v>
      </c>
      <c r="H405" s="408" t="s">
        <v>2203</v>
      </c>
      <c r="I405" s="408" t="s">
        <v>380</v>
      </c>
      <c r="J405" s="380" t="s">
        <v>381</v>
      </c>
      <c r="K405" s="409" t="str">
        <f t="shared" si="11"/>
        <v/>
      </c>
    </row>
    <row r="406" spans="1:11" ht="15.75" customHeight="1">
      <c r="A406" s="445" t="s">
        <v>383</v>
      </c>
      <c r="B406" t="s">
        <v>2204</v>
      </c>
      <c r="C406" s="445" t="s">
        <v>2205</v>
      </c>
      <c r="D406" s="407" t="str">
        <f t="shared" si="10"/>
        <v>GBR Vereinigtes Königreich Großbritannien und Nordirland</v>
      </c>
      <c r="E406" s="446" t="s">
        <v>2206</v>
      </c>
      <c r="F406" s="408" t="s">
        <v>2207</v>
      </c>
      <c r="G406" s="413" t="s">
        <v>2208</v>
      </c>
      <c r="H406" s="408" t="s">
        <v>2209</v>
      </c>
      <c r="I406" s="408" t="s">
        <v>2210</v>
      </c>
      <c r="J406" s="380" t="s">
        <v>383</v>
      </c>
      <c r="K406" s="409" t="str">
        <f t="shared" si="11"/>
        <v/>
      </c>
    </row>
    <row r="407" spans="1:11" ht="15.75" customHeight="1">
      <c r="A407" s="445" t="s">
        <v>385</v>
      </c>
      <c r="B407" t="s">
        <v>2211</v>
      </c>
      <c r="C407" s="445" t="s">
        <v>2212</v>
      </c>
      <c r="D407" s="407" t="str">
        <f t="shared" si="10"/>
        <v>GEO Georgien</v>
      </c>
      <c r="E407" s="446" t="s">
        <v>2213</v>
      </c>
      <c r="F407" s="408" t="s">
        <v>2214</v>
      </c>
      <c r="G407" s="413" t="s">
        <v>2214</v>
      </c>
      <c r="H407" s="408" t="s">
        <v>384</v>
      </c>
      <c r="I407" s="408" t="s">
        <v>2215</v>
      </c>
      <c r="J407" s="380" t="s">
        <v>385</v>
      </c>
      <c r="K407" s="409" t="str">
        <f t="shared" si="11"/>
        <v/>
      </c>
    </row>
    <row r="408" spans="1:11" ht="15.75" customHeight="1">
      <c r="A408" s="445" t="s">
        <v>387</v>
      </c>
      <c r="B408" t="s">
        <v>2216</v>
      </c>
      <c r="C408" s="445" t="s">
        <v>2217</v>
      </c>
      <c r="D408" s="407" t="str">
        <f t="shared" si="10"/>
        <v>GHA Ghana</v>
      </c>
      <c r="E408" s="446" t="s">
        <v>386</v>
      </c>
      <c r="F408" s="408" t="s">
        <v>2218</v>
      </c>
      <c r="G408" s="413" t="s">
        <v>2218</v>
      </c>
      <c r="H408" s="408" t="s">
        <v>386</v>
      </c>
      <c r="I408" s="408" t="s">
        <v>386</v>
      </c>
      <c r="J408" s="380" t="s">
        <v>387</v>
      </c>
      <c r="K408" s="409" t="str">
        <f t="shared" si="11"/>
        <v/>
      </c>
    </row>
    <row r="409" spans="1:11" ht="15.75" customHeight="1">
      <c r="A409" s="445" t="s">
        <v>389</v>
      </c>
      <c r="B409" t="s">
        <v>2219</v>
      </c>
      <c r="C409" s="445" t="s">
        <v>2220</v>
      </c>
      <c r="D409" s="407" t="str">
        <f t="shared" si="10"/>
        <v>GIB Gibraltar</v>
      </c>
      <c r="E409" s="446" t="s">
        <v>388</v>
      </c>
      <c r="F409" s="408" t="s">
        <v>2221</v>
      </c>
      <c r="G409" s="413" t="s">
        <v>2222</v>
      </c>
      <c r="H409" s="408" t="s">
        <v>388</v>
      </c>
      <c r="I409" s="408" t="s">
        <v>2223</v>
      </c>
      <c r="J409" s="380" t="s">
        <v>389</v>
      </c>
      <c r="K409" s="409" t="str">
        <f t="shared" si="11"/>
        <v/>
      </c>
    </row>
    <row r="410" spans="1:11" ht="15.75" customHeight="1">
      <c r="A410" s="445" t="s">
        <v>391</v>
      </c>
      <c r="B410" t="s">
        <v>2224</v>
      </c>
      <c r="C410" s="445" t="s">
        <v>2225</v>
      </c>
      <c r="D410" s="407" t="str">
        <f t="shared" si="10"/>
        <v>GIN Guinea</v>
      </c>
      <c r="E410" s="446" t="s">
        <v>390</v>
      </c>
      <c r="F410" s="408" t="s">
        <v>2226</v>
      </c>
      <c r="G410" s="413" t="s">
        <v>2226</v>
      </c>
      <c r="H410" s="408" t="s">
        <v>390</v>
      </c>
      <c r="I410" s="408" t="s">
        <v>2227</v>
      </c>
      <c r="J410" s="380" t="s">
        <v>391</v>
      </c>
      <c r="K410" s="409" t="str">
        <f t="shared" si="11"/>
        <v/>
      </c>
    </row>
    <row r="411" spans="1:11" ht="15.75" customHeight="1">
      <c r="A411" s="445" t="s">
        <v>393</v>
      </c>
      <c r="B411" t="s">
        <v>2228</v>
      </c>
      <c r="C411" s="445" t="s">
        <v>2229</v>
      </c>
      <c r="D411" s="407" t="str">
        <f t="shared" si="10"/>
        <v>GMB Gambia</v>
      </c>
      <c r="E411" s="446" t="s">
        <v>2230</v>
      </c>
      <c r="F411" s="408" t="s">
        <v>2231</v>
      </c>
      <c r="G411" s="413" t="s">
        <v>2231</v>
      </c>
      <c r="H411" s="408" t="s">
        <v>2230</v>
      </c>
      <c r="I411" s="408" t="s">
        <v>2232</v>
      </c>
      <c r="J411" s="380" t="s">
        <v>393</v>
      </c>
      <c r="K411" s="409" t="str">
        <f t="shared" si="11"/>
        <v/>
      </c>
    </row>
    <row r="412" spans="1:11" ht="28.5" customHeight="1">
      <c r="A412" s="445" t="s">
        <v>395</v>
      </c>
      <c r="B412" t="s">
        <v>2233</v>
      </c>
      <c r="C412" s="445" t="s">
        <v>2234</v>
      </c>
      <c r="D412" s="407" t="str">
        <f t="shared" si="10"/>
        <v>GNB Guinea-Bissau</v>
      </c>
      <c r="E412" s="446" t="s">
        <v>394</v>
      </c>
      <c r="F412" s="408" t="s">
        <v>2235</v>
      </c>
      <c r="G412" s="413" t="s">
        <v>2235</v>
      </c>
      <c r="H412" s="408" t="s">
        <v>2236</v>
      </c>
      <c r="I412" s="408" t="s">
        <v>2237</v>
      </c>
      <c r="J412" s="380" t="s">
        <v>395</v>
      </c>
      <c r="K412" s="409" t="str">
        <f t="shared" si="11"/>
        <v/>
      </c>
    </row>
    <row r="413" spans="1:11" ht="15.75" customHeight="1">
      <c r="A413" s="445" t="s">
        <v>397</v>
      </c>
      <c r="B413" t="s">
        <v>2238</v>
      </c>
      <c r="C413" s="445" t="s">
        <v>2239</v>
      </c>
      <c r="D413" s="407" t="str">
        <f t="shared" si="10"/>
        <v>GNQ Äquatorialguinea</v>
      </c>
      <c r="E413" s="446" t="s">
        <v>2240</v>
      </c>
      <c r="F413" s="408" t="s">
        <v>2241</v>
      </c>
      <c r="G413" s="413" t="s">
        <v>2242</v>
      </c>
      <c r="H413" s="408" t="s">
        <v>2243</v>
      </c>
      <c r="I413" s="408" t="s">
        <v>2244</v>
      </c>
      <c r="J413" s="380" t="s">
        <v>397</v>
      </c>
      <c r="K413" s="409" t="str">
        <f t="shared" si="11"/>
        <v/>
      </c>
    </row>
    <row r="414" spans="1:11" ht="15.75" customHeight="1">
      <c r="A414" s="445" t="s">
        <v>399</v>
      </c>
      <c r="B414" t="s">
        <v>2245</v>
      </c>
      <c r="C414" s="445" t="s">
        <v>2246</v>
      </c>
      <c r="D414" s="407" t="str">
        <f t="shared" si="10"/>
        <v>GRC Griechenland</v>
      </c>
      <c r="E414" s="446" t="s">
        <v>2247</v>
      </c>
      <c r="F414" s="408" t="s">
        <v>2248</v>
      </c>
      <c r="G414" s="413" t="s">
        <v>2249</v>
      </c>
      <c r="H414" s="408" t="s">
        <v>2250</v>
      </c>
      <c r="I414" s="408" t="s">
        <v>2251</v>
      </c>
      <c r="J414" s="380" t="s">
        <v>399</v>
      </c>
      <c r="K414" s="409" t="str">
        <f t="shared" si="11"/>
        <v/>
      </c>
    </row>
    <row r="415" spans="1:11" ht="15.75" customHeight="1">
      <c r="A415" s="445" t="s">
        <v>401</v>
      </c>
      <c r="B415" t="s">
        <v>2252</v>
      </c>
      <c r="C415" s="445" t="s">
        <v>2253</v>
      </c>
      <c r="D415" s="407" t="str">
        <f t="shared" si="10"/>
        <v>GRD Grenada</v>
      </c>
      <c r="E415" s="446" t="s">
        <v>400</v>
      </c>
      <c r="F415" s="408" t="s">
        <v>2254</v>
      </c>
      <c r="G415" s="413" t="s">
        <v>2254</v>
      </c>
      <c r="H415" s="408" t="s">
        <v>2255</v>
      </c>
      <c r="I415" s="408" t="s">
        <v>2256</v>
      </c>
      <c r="J415" s="380" t="s">
        <v>401</v>
      </c>
      <c r="K415" s="409" t="str">
        <f t="shared" si="11"/>
        <v/>
      </c>
    </row>
    <row r="416" spans="1:11" ht="15.75" customHeight="1">
      <c r="A416" s="445" t="s">
        <v>403</v>
      </c>
      <c r="B416" t="s">
        <v>2257</v>
      </c>
      <c r="C416" s="445" t="s">
        <v>2258</v>
      </c>
      <c r="D416" s="407" t="str">
        <f t="shared" si="10"/>
        <v>GRL Grönland</v>
      </c>
      <c r="E416" s="446" t="s">
        <v>2259</v>
      </c>
      <c r="F416" s="408" t="s">
        <v>2260</v>
      </c>
      <c r="G416" s="413" t="s">
        <v>2261</v>
      </c>
      <c r="H416" s="408" t="s">
        <v>2262</v>
      </c>
      <c r="I416" s="408" t="s">
        <v>2263</v>
      </c>
      <c r="J416" s="380" t="s">
        <v>403</v>
      </c>
      <c r="K416" s="409" t="str">
        <f t="shared" si="11"/>
        <v/>
      </c>
    </row>
    <row r="417" spans="1:11" ht="15.75" customHeight="1">
      <c r="A417" s="445" t="s">
        <v>405</v>
      </c>
      <c r="B417" t="s">
        <v>2264</v>
      </c>
      <c r="C417" s="445" t="s">
        <v>2265</v>
      </c>
      <c r="D417" s="407" t="str">
        <f t="shared" si="10"/>
        <v>GTM Guatemala</v>
      </c>
      <c r="E417" s="446" t="s">
        <v>404</v>
      </c>
      <c r="F417" s="408" t="s">
        <v>2266</v>
      </c>
      <c r="G417" s="413" t="s">
        <v>2266</v>
      </c>
      <c r="H417" s="408" t="s">
        <v>404</v>
      </c>
      <c r="I417" s="408" t="s">
        <v>2267</v>
      </c>
      <c r="J417" s="380" t="s">
        <v>405</v>
      </c>
      <c r="K417" s="409" t="str">
        <f t="shared" si="11"/>
        <v/>
      </c>
    </row>
    <row r="418" spans="1:11" ht="15.75" customHeight="1">
      <c r="A418" s="445" t="s">
        <v>407</v>
      </c>
      <c r="B418" t="s">
        <v>2268</v>
      </c>
      <c r="C418" s="445" t="s">
        <v>2269</v>
      </c>
      <c r="D418" s="407" t="str">
        <f t="shared" si="10"/>
        <v>GUM Guam</v>
      </c>
      <c r="E418" s="446" t="s">
        <v>406</v>
      </c>
      <c r="F418" s="408" t="s">
        <v>2270</v>
      </c>
      <c r="G418" s="413" t="s">
        <v>2270</v>
      </c>
      <c r="H418" s="408" t="s">
        <v>406</v>
      </c>
      <c r="I418" s="408" t="s">
        <v>406</v>
      </c>
      <c r="J418" s="380" t="s">
        <v>407</v>
      </c>
      <c r="K418" s="409" t="str">
        <f t="shared" si="11"/>
        <v/>
      </c>
    </row>
    <row r="419" spans="1:11" ht="15.75" customHeight="1">
      <c r="A419" s="445" t="s">
        <v>409</v>
      </c>
      <c r="B419" t="s">
        <v>2271</v>
      </c>
      <c r="C419" s="445" t="s">
        <v>2272</v>
      </c>
      <c r="D419" s="407" t="str">
        <f t="shared" si="10"/>
        <v>GUY Guyana</v>
      </c>
      <c r="E419" s="446" t="s">
        <v>408</v>
      </c>
      <c r="F419" s="408" t="s">
        <v>2273</v>
      </c>
      <c r="G419" s="413" t="s">
        <v>2273</v>
      </c>
      <c r="H419" s="408" t="s">
        <v>408</v>
      </c>
      <c r="I419" s="408" t="s">
        <v>2274</v>
      </c>
      <c r="J419" s="380" t="s">
        <v>409</v>
      </c>
      <c r="K419" s="409" t="str">
        <f t="shared" si="11"/>
        <v/>
      </c>
    </row>
    <row r="420" spans="1:11" ht="15.75" customHeight="1">
      <c r="A420" s="445" t="s">
        <v>411</v>
      </c>
      <c r="B420" t="s">
        <v>2275</v>
      </c>
      <c r="C420" s="445" t="s">
        <v>2276</v>
      </c>
      <c r="D420" s="407" t="str">
        <f t="shared" si="10"/>
        <v>HKG Hongkong</v>
      </c>
      <c r="E420" s="446" t="s">
        <v>2277</v>
      </c>
      <c r="F420" s="408" t="s">
        <v>2278</v>
      </c>
      <c r="G420" s="413" t="s">
        <v>2278</v>
      </c>
      <c r="H420" s="408" t="s">
        <v>2279</v>
      </c>
      <c r="I420" s="408" t="s">
        <v>2279</v>
      </c>
      <c r="J420" s="380" t="s">
        <v>411</v>
      </c>
      <c r="K420" s="409" t="str">
        <f t="shared" si="11"/>
        <v/>
      </c>
    </row>
    <row r="421" spans="1:11" ht="15.75" customHeight="1">
      <c r="A421" s="445" t="s">
        <v>413</v>
      </c>
      <c r="B421" t="s">
        <v>2280</v>
      </c>
      <c r="C421" s="445" t="s">
        <v>2281</v>
      </c>
      <c r="D421" s="407" t="str">
        <f t="shared" si="10"/>
        <v>HND Honduras</v>
      </c>
      <c r="E421" s="446" t="s">
        <v>412</v>
      </c>
      <c r="F421" s="408" t="s">
        <v>2282</v>
      </c>
      <c r="G421" s="413" t="s">
        <v>2282</v>
      </c>
      <c r="H421" s="408" t="s">
        <v>412</v>
      </c>
      <c r="I421" s="408" t="s">
        <v>412</v>
      </c>
      <c r="J421" s="380" t="s">
        <v>413</v>
      </c>
      <c r="K421" s="409" t="str">
        <f t="shared" si="11"/>
        <v/>
      </c>
    </row>
    <row r="422" spans="1:11" ht="15.75" customHeight="1">
      <c r="A422" s="445" t="s">
        <v>415</v>
      </c>
      <c r="B422" t="s">
        <v>2283</v>
      </c>
      <c r="C422" s="445" t="s">
        <v>2284</v>
      </c>
      <c r="D422" s="407" t="str">
        <f t="shared" si="10"/>
        <v>HRV Kroatien</v>
      </c>
      <c r="E422" s="446" t="s">
        <v>2285</v>
      </c>
      <c r="F422" s="408" t="s">
        <v>2286</v>
      </c>
      <c r="G422" s="413" t="s">
        <v>2287</v>
      </c>
      <c r="H422" s="408" t="s">
        <v>2288</v>
      </c>
      <c r="I422" s="408" t="s">
        <v>2289</v>
      </c>
      <c r="J422" s="380" t="s">
        <v>415</v>
      </c>
      <c r="K422" s="409" t="str">
        <f t="shared" si="11"/>
        <v/>
      </c>
    </row>
    <row r="423" spans="1:11" ht="15.75" customHeight="1">
      <c r="A423" s="445" t="s">
        <v>417</v>
      </c>
      <c r="B423" t="s">
        <v>2290</v>
      </c>
      <c r="C423" s="445" t="s">
        <v>2291</v>
      </c>
      <c r="D423" s="407" t="str">
        <f t="shared" si="10"/>
        <v>HTI Haiti</v>
      </c>
      <c r="E423" s="446" t="s">
        <v>416</v>
      </c>
      <c r="F423" s="408" t="s">
        <v>2292</v>
      </c>
      <c r="G423" s="413" t="s">
        <v>2292</v>
      </c>
      <c r="H423" s="408" t="s">
        <v>2293</v>
      </c>
      <c r="I423" s="408" t="s">
        <v>2294</v>
      </c>
      <c r="J423" s="380" t="s">
        <v>417</v>
      </c>
      <c r="K423" s="409" t="str">
        <f t="shared" si="11"/>
        <v/>
      </c>
    </row>
    <row r="424" spans="1:11" ht="15.75" customHeight="1">
      <c r="A424" s="445" t="s">
        <v>419</v>
      </c>
      <c r="B424" t="s">
        <v>2295</v>
      </c>
      <c r="C424" s="445" t="s">
        <v>2296</v>
      </c>
      <c r="D424" s="407" t="str">
        <f t="shared" si="10"/>
        <v>HUN Ungarn</v>
      </c>
      <c r="E424" s="446" t="s">
        <v>2297</v>
      </c>
      <c r="F424" s="408" t="s">
        <v>2298</v>
      </c>
      <c r="G424" s="413" t="s">
        <v>2299</v>
      </c>
      <c r="H424" s="408" t="s">
        <v>2300</v>
      </c>
      <c r="I424" s="408" t="s">
        <v>2301</v>
      </c>
      <c r="J424" s="380" t="s">
        <v>419</v>
      </c>
      <c r="K424" s="409" t="str">
        <f t="shared" si="11"/>
        <v/>
      </c>
    </row>
    <row r="425" spans="1:11" ht="15.75" customHeight="1">
      <c r="A425" s="445" t="s">
        <v>421</v>
      </c>
      <c r="B425" t="s">
        <v>2302</v>
      </c>
      <c r="C425" s="445" t="s">
        <v>2303</v>
      </c>
      <c r="D425" s="407" t="str">
        <f t="shared" si="10"/>
        <v>IDN Indonesien</v>
      </c>
      <c r="E425" s="446" t="s">
        <v>2304</v>
      </c>
      <c r="F425" s="408" t="s">
        <v>2305</v>
      </c>
      <c r="G425" s="405" t="s">
        <v>2305</v>
      </c>
      <c r="H425" s="405" t="s">
        <v>420</v>
      </c>
      <c r="I425" s="405" t="s">
        <v>2306</v>
      </c>
      <c r="J425" s="380" t="s">
        <v>421</v>
      </c>
      <c r="K425" s="409" t="str">
        <f t="shared" si="11"/>
        <v/>
      </c>
    </row>
    <row r="426" spans="1:11" ht="15.75" customHeight="1">
      <c r="A426" s="445" t="s">
        <v>423</v>
      </c>
      <c r="B426" t="s">
        <v>2307</v>
      </c>
      <c r="C426" s="445" t="s">
        <v>2308</v>
      </c>
      <c r="D426" s="407" t="str">
        <f t="shared" si="10"/>
        <v>IMN Insel Man</v>
      </c>
      <c r="E426" s="405" t="s">
        <v>2309</v>
      </c>
      <c r="F426" s="408" t="s">
        <v>2310</v>
      </c>
      <c r="G426" s="405" t="s">
        <v>2311</v>
      </c>
      <c r="H426" s="405" t="s">
        <v>2312</v>
      </c>
      <c r="I426" s="405" t="s">
        <v>2313</v>
      </c>
      <c r="J426" s="380" t="s">
        <v>423</v>
      </c>
      <c r="K426" s="409" t="str">
        <f t="shared" si="11"/>
        <v/>
      </c>
    </row>
    <row r="427" spans="1:11" ht="15.75" customHeight="1">
      <c r="A427" s="445" t="s">
        <v>425</v>
      </c>
      <c r="B427" t="s">
        <v>2314</v>
      </c>
      <c r="C427" s="445" t="s">
        <v>2315</v>
      </c>
      <c r="D427" s="407" t="str">
        <f t="shared" si="10"/>
        <v>IND Indien</v>
      </c>
      <c r="E427" s="405" t="s">
        <v>2316</v>
      </c>
      <c r="F427" s="408" t="s">
        <v>2317</v>
      </c>
      <c r="G427" s="405" t="s">
        <v>2317</v>
      </c>
      <c r="H427" s="405" t="s">
        <v>424</v>
      </c>
      <c r="I427" s="405" t="s">
        <v>2318</v>
      </c>
      <c r="J427" s="380" t="s">
        <v>425</v>
      </c>
      <c r="K427" s="409" t="str">
        <f t="shared" si="11"/>
        <v/>
      </c>
    </row>
    <row r="428" spans="1:11" ht="15.75" customHeight="1">
      <c r="A428" s="445" t="s">
        <v>427</v>
      </c>
      <c r="B428" t="s">
        <v>2319</v>
      </c>
      <c r="C428" s="445" t="s">
        <v>2320</v>
      </c>
      <c r="D428" s="407" t="str">
        <f t="shared" si="10"/>
        <v>IRL Irland</v>
      </c>
      <c r="E428" s="446" t="s">
        <v>2321</v>
      </c>
      <c r="F428" s="408" t="s">
        <v>2322</v>
      </c>
      <c r="G428" s="405" t="s">
        <v>2323</v>
      </c>
      <c r="H428" s="405" t="s">
        <v>2324</v>
      </c>
      <c r="I428" s="405" t="s">
        <v>2325</v>
      </c>
      <c r="J428" s="380" t="s">
        <v>427</v>
      </c>
      <c r="K428" s="409" t="str">
        <f t="shared" si="11"/>
        <v/>
      </c>
    </row>
    <row r="429" spans="1:11" ht="15.75" customHeight="1">
      <c r="A429" s="445" t="s">
        <v>429</v>
      </c>
      <c r="B429" t="s">
        <v>2326</v>
      </c>
      <c r="C429" s="445" t="s">
        <v>2327</v>
      </c>
      <c r="D429" s="407" t="str">
        <f t="shared" si="10"/>
        <v>IRN Iran, Islamische Republik</v>
      </c>
      <c r="E429" s="405" t="s">
        <v>2328</v>
      </c>
      <c r="F429" s="408" t="s">
        <v>2329</v>
      </c>
      <c r="G429" s="405" t="s">
        <v>2330</v>
      </c>
      <c r="H429" s="405" t="s">
        <v>2331</v>
      </c>
      <c r="I429" s="405" t="s">
        <v>2332</v>
      </c>
      <c r="J429" s="380" t="s">
        <v>429</v>
      </c>
      <c r="K429" s="409" t="str">
        <f t="shared" si="11"/>
        <v/>
      </c>
    </row>
    <row r="430" spans="1:11" ht="15.75" customHeight="1">
      <c r="A430" s="445" t="s">
        <v>431</v>
      </c>
      <c r="B430" t="s">
        <v>2333</v>
      </c>
      <c r="C430" s="445" t="s">
        <v>2334</v>
      </c>
      <c r="D430" s="407" t="str">
        <f t="shared" si="10"/>
        <v>IRQ Irak</v>
      </c>
      <c r="E430" s="405" t="s">
        <v>2335</v>
      </c>
      <c r="F430" s="408" t="s">
        <v>2336</v>
      </c>
      <c r="G430" s="405" t="s">
        <v>2336</v>
      </c>
      <c r="H430" s="405" t="s">
        <v>2335</v>
      </c>
      <c r="I430" s="405" t="s">
        <v>2335</v>
      </c>
      <c r="J430" s="380" t="s">
        <v>431</v>
      </c>
      <c r="K430" s="409" t="str">
        <f t="shared" si="11"/>
        <v/>
      </c>
    </row>
    <row r="431" spans="1:11" ht="15.75" customHeight="1">
      <c r="A431" s="445" t="s">
        <v>433</v>
      </c>
      <c r="B431" t="s">
        <v>2337</v>
      </c>
      <c r="C431" s="445" t="s">
        <v>2338</v>
      </c>
      <c r="D431" s="407" t="str">
        <f t="shared" si="10"/>
        <v>ISL Island</v>
      </c>
      <c r="E431" s="405" t="s">
        <v>2339</v>
      </c>
      <c r="F431" s="408" t="s">
        <v>2340</v>
      </c>
      <c r="G431" s="405" t="s">
        <v>2341</v>
      </c>
      <c r="H431" s="405" t="s">
        <v>2342</v>
      </c>
      <c r="I431" s="405" t="s">
        <v>2343</v>
      </c>
      <c r="J431" s="380" t="s">
        <v>433</v>
      </c>
      <c r="K431" s="409" t="str">
        <f t="shared" si="11"/>
        <v/>
      </c>
    </row>
    <row r="432" spans="1:11" ht="15.75" customHeight="1">
      <c r="A432" s="445" t="s">
        <v>435</v>
      </c>
      <c r="B432" t="s">
        <v>2344</v>
      </c>
      <c r="C432" s="445" t="s">
        <v>2345</v>
      </c>
      <c r="D432" s="407" t="str">
        <f t="shared" si="10"/>
        <v>ISR Israel</v>
      </c>
      <c r="E432" s="405" t="s">
        <v>434</v>
      </c>
      <c r="F432" s="408" t="s">
        <v>2346</v>
      </c>
      <c r="G432" s="405" t="s">
        <v>2347</v>
      </c>
      <c r="H432" s="405" t="s">
        <v>434</v>
      </c>
      <c r="I432" s="405" t="s">
        <v>2348</v>
      </c>
      <c r="J432" s="380" t="s">
        <v>435</v>
      </c>
      <c r="K432" s="409" t="str">
        <f t="shared" si="11"/>
        <v/>
      </c>
    </row>
    <row r="433" spans="1:11" ht="15.75" customHeight="1">
      <c r="A433" s="445" t="s">
        <v>437</v>
      </c>
      <c r="B433" t="s">
        <v>2349</v>
      </c>
      <c r="C433" s="445" t="s">
        <v>2350</v>
      </c>
      <c r="D433" s="407" t="str">
        <f t="shared" si="10"/>
        <v>ITA Italien</v>
      </c>
      <c r="E433" s="405" t="s">
        <v>2351</v>
      </c>
      <c r="F433" s="408" t="s">
        <v>2352</v>
      </c>
      <c r="G433" s="405" t="s">
        <v>2353</v>
      </c>
      <c r="H433" s="405" t="s">
        <v>2354</v>
      </c>
      <c r="I433" s="405" t="s">
        <v>2355</v>
      </c>
      <c r="J433" s="380" t="s">
        <v>437</v>
      </c>
      <c r="K433" s="409" t="str">
        <f t="shared" si="11"/>
        <v/>
      </c>
    </row>
    <row r="434" spans="1:11" ht="15.75" customHeight="1">
      <c r="A434" s="445" t="s">
        <v>439</v>
      </c>
      <c r="B434" t="s">
        <v>2356</v>
      </c>
      <c r="C434" s="445" t="s">
        <v>2357</v>
      </c>
      <c r="D434" s="407" t="str">
        <f t="shared" si="10"/>
        <v>JAM Jamaika</v>
      </c>
      <c r="E434" s="405" t="s">
        <v>2358</v>
      </c>
      <c r="F434" s="408" t="s">
        <v>2359</v>
      </c>
      <c r="G434" s="405" t="s">
        <v>2360</v>
      </c>
      <c r="H434" s="405" t="s">
        <v>438</v>
      </c>
      <c r="I434" s="405" t="s">
        <v>2361</v>
      </c>
      <c r="J434" s="380" t="s">
        <v>439</v>
      </c>
      <c r="K434" s="409" t="str">
        <f t="shared" si="11"/>
        <v/>
      </c>
    </row>
    <row r="435" spans="1:11" ht="15.75" customHeight="1">
      <c r="A435" s="445" t="s">
        <v>441</v>
      </c>
      <c r="B435" t="s">
        <v>2362</v>
      </c>
      <c r="C435" s="445" t="s">
        <v>2363</v>
      </c>
      <c r="D435" s="407" t="str">
        <f t="shared" si="10"/>
        <v>JOR Jordanien</v>
      </c>
      <c r="E435" s="405" t="s">
        <v>2364</v>
      </c>
      <c r="F435" s="408" t="s">
        <v>2365</v>
      </c>
      <c r="G435" s="405" t="s">
        <v>2366</v>
      </c>
      <c r="H435" s="405" t="s">
        <v>2367</v>
      </c>
      <c r="I435" s="405" t="s">
        <v>2368</v>
      </c>
      <c r="J435" s="380" t="s">
        <v>441</v>
      </c>
      <c r="K435" s="409" t="str">
        <f t="shared" si="11"/>
        <v/>
      </c>
    </row>
    <row r="436" spans="1:11" ht="15.75" customHeight="1">
      <c r="A436" s="445" t="s">
        <v>443</v>
      </c>
      <c r="B436" t="s">
        <v>2369</v>
      </c>
      <c r="C436" s="445" t="s">
        <v>2370</v>
      </c>
      <c r="D436" s="407" t="str">
        <f t="shared" si="10"/>
        <v>JPN Japan</v>
      </c>
      <c r="E436" s="405" t="s">
        <v>442</v>
      </c>
      <c r="F436" s="408" t="s">
        <v>2371</v>
      </c>
      <c r="G436" s="405" t="s">
        <v>2372</v>
      </c>
      <c r="H436" s="405" t="s">
        <v>2373</v>
      </c>
      <c r="I436" s="405" t="s">
        <v>2374</v>
      </c>
      <c r="J436" s="380" t="s">
        <v>443</v>
      </c>
      <c r="K436" s="409" t="str">
        <f t="shared" si="11"/>
        <v/>
      </c>
    </row>
    <row r="437" spans="1:11" ht="15.75" customHeight="1">
      <c r="A437" s="445" t="s">
        <v>445</v>
      </c>
      <c r="B437" t="s">
        <v>2375</v>
      </c>
      <c r="C437" s="445" t="s">
        <v>2376</v>
      </c>
      <c r="D437" s="407" t="str">
        <f t="shared" si="10"/>
        <v>KAZ Kasachstan</v>
      </c>
      <c r="E437" s="405" t="s">
        <v>2377</v>
      </c>
      <c r="F437" s="408" t="s">
        <v>2378</v>
      </c>
      <c r="G437" s="405" t="s">
        <v>2379</v>
      </c>
      <c r="H437" s="405" t="s">
        <v>2380</v>
      </c>
      <c r="I437" s="405" t="s">
        <v>444</v>
      </c>
      <c r="J437" s="380" t="s">
        <v>445</v>
      </c>
      <c r="K437" s="409" t="str">
        <f t="shared" si="11"/>
        <v/>
      </c>
    </row>
    <row r="438" spans="1:11" ht="15.75" customHeight="1">
      <c r="A438" s="445" t="s">
        <v>447</v>
      </c>
      <c r="B438" t="s">
        <v>2381</v>
      </c>
      <c r="C438" s="445" t="s">
        <v>2382</v>
      </c>
      <c r="D438" s="407" t="str">
        <f t="shared" si="10"/>
        <v>KEN Kenia</v>
      </c>
      <c r="E438" s="405" t="s">
        <v>2383</v>
      </c>
      <c r="F438" s="408" t="s">
        <v>2384</v>
      </c>
      <c r="G438" s="405" t="s">
        <v>2384</v>
      </c>
      <c r="H438" s="405" t="s">
        <v>2383</v>
      </c>
      <c r="I438" s="405" t="s">
        <v>446</v>
      </c>
      <c r="J438" s="380" t="s">
        <v>447</v>
      </c>
      <c r="K438" s="409" t="str">
        <f t="shared" si="11"/>
        <v/>
      </c>
    </row>
    <row r="439" spans="1:11" ht="15.75" customHeight="1">
      <c r="A439" s="445" t="s">
        <v>449</v>
      </c>
      <c r="B439" t="s">
        <v>2385</v>
      </c>
      <c r="C439" s="445" t="s">
        <v>2386</v>
      </c>
      <c r="D439" s="407" t="str">
        <f t="shared" si="10"/>
        <v>KGZ Kirgisistan</v>
      </c>
      <c r="E439" s="405" t="s">
        <v>2387</v>
      </c>
      <c r="F439" s="408" t="s">
        <v>2388</v>
      </c>
      <c r="G439" s="405" t="s">
        <v>2389</v>
      </c>
      <c r="H439" s="405" t="s">
        <v>2390</v>
      </c>
      <c r="I439" s="405" t="s">
        <v>2391</v>
      </c>
      <c r="J439" s="380" t="s">
        <v>449</v>
      </c>
      <c r="K439" s="409" t="str">
        <f t="shared" si="11"/>
        <v/>
      </c>
    </row>
    <row r="440" spans="1:11" ht="15.75" customHeight="1">
      <c r="A440" s="445" t="s">
        <v>451</v>
      </c>
      <c r="B440" t="s">
        <v>2392</v>
      </c>
      <c r="C440" s="445" t="s">
        <v>2393</v>
      </c>
      <c r="D440" s="407" t="str">
        <f t="shared" si="10"/>
        <v>KHM Kambodscha</v>
      </c>
      <c r="E440" s="405" t="s">
        <v>2394</v>
      </c>
      <c r="F440" s="408" t="s">
        <v>2395</v>
      </c>
      <c r="G440" s="405" t="s">
        <v>2396</v>
      </c>
      <c r="H440" s="405" t="s">
        <v>2397</v>
      </c>
      <c r="I440" s="405" t="s">
        <v>2398</v>
      </c>
      <c r="J440" s="380" t="s">
        <v>451</v>
      </c>
      <c r="K440" s="409" t="str">
        <f t="shared" si="11"/>
        <v/>
      </c>
    </row>
    <row r="441" spans="1:11" ht="28.5" customHeight="1">
      <c r="A441" s="445" t="s">
        <v>453</v>
      </c>
      <c r="B441" t="s">
        <v>2399</v>
      </c>
      <c r="C441" s="445" t="s">
        <v>2400</v>
      </c>
      <c r="D441" s="407" t="str">
        <f t="shared" si="10"/>
        <v>KIR Kiribati</v>
      </c>
      <c r="E441" s="405" t="s">
        <v>452</v>
      </c>
      <c r="F441" s="408" t="s">
        <v>2401</v>
      </c>
      <c r="G441" s="405" t="s">
        <v>2401</v>
      </c>
      <c r="H441" s="405" t="s">
        <v>452</v>
      </c>
      <c r="I441" s="405" t="s">
        <v>452</v>
      </c>
      <c r="J441" s="380" t="s">
        <v>453</v>
      </c>
      <c r="K441" s="409" t="str">
        <f t="shared" si="11"/>
        <v/>
      </c>
    </row>
    <row r="442" spans="1:11" ht="15.75" customHeight="1">
      <c r="A442" s="445" t="s">
        <v>455</v>
      </c>
      <c r="B442" t="s">
        <v>2402</v>
      </c>
      <c r="C442" s="445" t="s">
        <v>2403</v>
      </c>
      <c r="D442" s="407" t="str">
        <f t="shared" si="10"/>
        <v>KNA St. Kitts und Nevis</v>
      </c>
      <c r="E442" s="405" t="s">
        <v>2404</v>
      </c>
      <c r="F442" s="408" t="s">
        <v>2405</v>
      </c>
      <c r="G442" s="405" t="s">
        <v>2406</v>
      </c>
      <c r="H442" s="405" t="s">
        <v>2407</v>
      </c>
      <c r="I442" s="405" t="s">
        <v>2408</v>
      </c>
      <c r="J442" s="380" t="s">
        <v>455</v>
      </c>
      <c r="K442" s="409" t="str">
        <f t="shared" si="11"/>
        <v/>
      </c>
    </row>
    <row r="443" spans="1:11" ht="15.75" customHeight="1">
      <c r="A443" s="445" t="s">
        <v>457</v>
      </c>
      <c r="B443" t="s">
        <v>2409</v>
      </c>
      <c r="C443" s="445" t="s">
        <v>2410</v>
      </c>
      <c r="D443" s="407" t="str">
        <f t="shared" si="10"/>
        <v>KOR Korea, Republik (Südkorea)</v>
      </c>
      <c r="E443" s="405" t="s">
        <v>2411</v>
      </c>
      <c r="F443" s="408" t="s">
        <v>2412</v>
      </c>
      <c r="G443" s="405" t="s">
        <v>2413</v>
      </c>
      <c r="H443" s="405" t="s">
        <v>2414</v>
      </c>
      <c r="I443" s="405" t="s">
        <v>2415</v>
      </c>
      <c r="J443" s="380" t="s">
        <v>457</v>
      </c>
      <c r="K443" s="409" t="str">
        <f t="shared" si="11"/>
        <v/>
      </c>
    </row>
    <row r="444" spans="1:11" ht="15.75" customHeight="1">
      <c r="A444" s="445" t="s">
        <v>459</v>
      </c>
      <c r="B444" t="s">
        <v>2416</v>
      </c>
      <c r="C444" s="445" t="s">
        <v>2417</v>
      </c>
      <c r="D444" s="407" t="str">
        <f t="shared" si="10"/>
        <v>KWT Kuwait</v>
      </c>
      <c r="E444" s="405" t="s">
        <v>458</v>
      </c>
      <c r="F444" s="408" t="s">
        <v>2418</v>
      </c>
      <c r="G444" s="405" t="s">
        <v>2418</v>
      </c>
      <c r="H444" s="405" t="s">
        <v>458</v>
      </c>
      <c r="I444" s="405" t="s">
        <v>2419</v>
      </c>
      <c r="J444" s="380" t="s">
        <v>459</v>
      </c>
      <c r="K444" s="409" t="str">
        <f t="shared" si="11"/>
        <v/>
      </c>
    </row>
    <row r="445" spans="1:11" ht="15.75" customHeight="1">
      <c r="A445" s="445" t="s">
        <v>461</v>
      </c>
      <c r="B445" t="s">
        <v>2420</v>
      </c>
      <c r="C445" s="445" t="s">
        <v>2421</v>
      </c>
      <c r="D445" s="407" t="str">
        <f t="shared" si="10"/>
        <v>LAO Laos, Demokratische Volksrepublik</v>
      </c>
      <c r="E445" s="405" t="s">
        <v>2422</v>
      </c>
      <c r="F445" s="408" t="s">
        <v>2423</v>
      </c>
      <c r="G445" s="405" t="s">
        <v>2424</v>
      </c>
      <c r="H445" s="405" t="s">
        <v>2425</v>
      </c>
      <c r="I445" s="405" t="s">
        <v>2425</v>
      </c>
      <c r="J445" s="380" t="s">
        <v>461</v>
      </c>
      <c r="K445" s="409" t="str">
        <f t="shared" si="11"/>
        <v/>
      </c>
    </row>
    <row r="446" spans="1:11" ht="15.75" customHeight="1">
      <c r="A446" s="445" t="s">
        <v>463</v>
      </c>
      <c r="B446" t="s">
        <v>2426</v>
      </c>
      <c r="C446" s="445" t="s">
        <v>2427</v>
      </c>
      <c r="D446" s="407" t="str">
        <f t="shared" si="10"/>
        <v>LBN Libanon</v>
      </c>
      <c r="E446" s="405" t="s">
        <v>2428</v>
      </c>
      <c r="F446" s="408" t="s">
        <v>2429</v>
      </c>
      <c r="G446" s="405" t="s">
        <v>2430</v>
      </c>
      <c r="H446" s="405" t="s">
        <v>2431</v>
      </c>
      <c r="I446" s="405" t="s">
        <v>2432</v>
      </c>
      <c r="J446" s="380" t="s">
        <v>463</v>
      </c>
      <c r="K446" s="409" t="str">
        <f t="shared" si="11"/>
        <v/>
      </c>
    </row>
    <row r="447" spans="1:11" ht="15.75" customHeight="1">
      <c r="A447" s="445" t="s">
        <v>465</v>
      </c>
      <c r="B447" t="s">
        <v>2433</v>
      </c>
      <c r="C447" s="445" t="s">
        <v>2434</v>
      </c>
      <c r="D447" s="407" t="str">
        <f t="shared" si="10"/>
        <v>LBR Liberia</v>
      </c>
      <c r="E447" s="405" t="s">
        <v>464</v>
      </c>
      <c r="F447" s="408" t="s">
        <v>2435</v>
      </c>
      <c r="G447" s="405" t="s">
        <v>2435</v>
      </c>
      <c r="H447" s="405" t="s">
        <v>464</v>
      </c>
      <c r="I447" s="405" t="s">
        <v>2436</v>
      </c>
      <c r="J447" s="380" t="s">
        <v>465</v>
      </c>
      <c r="K447" s="409" t="str">
        <f t="shared" si="11"/>
        <v/>
      </c>
    </row>
    <row r="448" spans="1:11" ht="15.75" customHeight="1">
      <c r="A448" s="445" t="s">
        <v>467</v>
      </c>
      <c r="B448" t="s">
        <v>2437</v>
      </c>
      <c r="C448" s="445" t="s">
        <v>2438</v>
      </c>
      <c r="D448" s="407" t="str">
        <f t="shared" si="10"/>
        <v>LBY Libyen</v>
      </c>
      <c r="E448" s="405" t="s">
        <v>2439</v>
      </c>
      <c r="F448" s="408" t="s">
        <v>2440</v>
      </c>
      <c r="G448" s="405" t="s">
        <v>2441</v>
      </c>
      <c r="H448" s="405" t="s">
        <v>2442</v>
      </c>
      <c r="I448" s="405" t="s">
        <v>2443</v>
      </c>
      <c r="J448" s="380" t="s">
        <v>467</v>
      </c>
      <c r="K448" s="409" t="str">
        <f t="shared" si="11"/>
        <v/>
      </c>
    </row>
    <row r="449" spans="1:11" ht="15.75" customHeight="1">
      <c r="A449" s="445" t="s">
        <v>469</v>
      </c>
      <c r="B449" t="s">
        <v>2444</v>
      </c>
      <c r="C449" s="445" t="s">
        <v>2445</v>
      </c>
      <c r="D449" s="407" t="str">
        <f t="shared" si="10"/>
        <v>LCA St. Lucia</v>
      </c>
      <c r="E449" s="405" t="s">
        <v>468</v>
      </c>
      <c r="F449" s="408" t="s">
        <v>2446</v>
      </c>
      <c r="G449" s="405" t="s">
        <v>2447</v>
      </c>
      <c r="H449" s="405" t="s">
        <v>2448</v>
      </c>
      <c r="I449" s="405" t="s">
        <v>2449</v>
      </c>
      <c r="J449" s="380" t="s">
        <v>469</v>
      </c>
      <c r="K449" s="409" t="str">
        <f t="shared" si="11"/>
        <v/>
      </c>
    </row>
    <row r="450" spans="1:11" ht="15.75" customHeight="1">
      <c r="A450" s="445" t="s">
        <v>471</v>
      </c>
      <c r="B450" t="s">
        <v>2450</v>
      </c>
      <c r="C450" s="445" t="s">
        <v>2451</v>
      </c>
      <c r="D450" s="407" t="str">
        <f t="shared" si="10"/>
        <v>LIE Liechtenstein</v>
      </c>
      <c r="E450" s="405" t="s">
        <v>470</v>
      </c>
      <c r="F450" s="408" t="s">
        <v>2452</v>
      </c>
      <c r="G450" s="405" t="s">
        <v>2452</v>
      </c>
      <c r="H450" s="405" t="s">
        <v>470</v>
      </c>
      <c r="I450" s="405" t="s">
        <v>470</v>
      </c>
      <c r="J450" s="380" t="s">
        <v>471</v>
      </c>
      <c r="K450" s="409" t="str">
        <f t="shared" si="11"/>
        <v/>
      </c>
    </row>
    <row r="451" spans="1:11" ht="15.75" customHeight="1">
      <c r="A451" s="445" t="s">
        <v>473</v>
      </c>
      <c r="B451" t="s">
        <v>2453</v>
      </c>
      <c r="C451" s="445" t="s">
        <v>2454</v>
      </c>
      <c r="D451" s="407" t="str">
        <f t="shared" si="10"/>
        <v>LKA Sri Lanka</v>
      </c>
      <c r="E451" s="405" t="s">
        <v>472</v>
      </c>
      <c r="F451" s="408" t="s">
        <v>2455</v>
      </c>
      <c r="G451" s="405" t="s">
        <v>2455</v>
      </c>
      <c r="H451" s="405" t="s">
        <v>472</v>
      </c>
      <c r="I451" s="405" t="s">
        <v>472</v>
      </c>
      <c r="J451" s="380" t="s">
        <v>473</v>
      </c>
      <c r="K451" s="409" t="str">
        <f t="shared" si="11"/>
        <v/>
      </c>
    </row>
    <row r="452" spans="1:11" ht="15.75" customHeight="1">
      <c r="A452" s="445" t="s">
        <v>475</v>
      </c>
      <c r="B452" t="s">
        <v>2456</v>
      </c>
      <c r="C452" s="445" t="s">
        <v>2457</v>
      </c>
      <c r="D452" s="407" t="str">
        <f t="shared" si="10"/>
        <v>LSO Lesotho</v>
      </c>
      <c r="E452" s="405" t="s">
        <v>474</v>
      </c>
      <c r="F452" s="408" t="s">
        <v>2458</v>
      </c>
      <c r="G452" s="405" t="s">
        <v>2458</v>
      </c>
      <c r="H452" s="405" t="s">
        <v>2459</v>
      </c>
      <c r="I452" s="405" t="s">
        <v>474</v>
      </c>
      <c r="J452" s="380" t="s">
        <v>475</v>
      </c>
      <c r="K452" s="409" t="str">
        <f t="shared" si="11"/>
        <v/>
      </c>
    </row>
    <row r="453" spans="1:11" ht="15.75" customHeight="1">
      <c r="A453" s="445" t="s">
        <v>477</v>
      </c>
      <c r="B453" t="s">
        <v>2460</v>
      </c>
      <c r="C453" s="445" t="s">
        <v>2461</v>
      </c>
      <c r="D453" s="407" t="str">
        <f t="shared" si="10"/>
        <v>LTU Litauen</v>
      </c>
      <c r="E453" s="405" t="s">
        <v>2462</v>
      </c>
      <c r="F453" s="408" t="s">
        <v>2463</v>
      </c>
      <c r="G453" s="405" t="s">
        <v>2464</v>
      </c>
      <c r="H453" s="405" t="s">
        <v>2465</v>
      </c>
      <c r="I453" s="405" t="s">
        <v>2466</v>
      </c>
      <c r="J453" s="380" t="s">
        <v>477</v>
      </c>
      <c r="K453" s="409" t="str">
        <f t="shared" si="11"/>
        <v/>
      </c>
    </row>
    <row r="454" spans="1:11" ht="15.75" customHeight="1">
      <c r="A454" s="445" t="s">
        <v>479</v>
      </c>
      <c r="B454" t="s">
        <v>2467</v>
      </c>
      <c r="C454" s="445" t="s">
        <v>2468</v>
      </c>
      <c r="D454" s="407" t="str">
        <f t="shared" si="10"/>
        <v>LUX Luxemburg</v>
      </c>
      <c r="E454" s="405" t="s">
        <v>2469</v>
      </c>
      <c r="F454" s="408" t="s">
        <v>2470</v>
      </c>
      <c r="G454" s="405" t="s">
        <v>2471</v>
      </c>
      <c r="H454" s="405" t="s">
        <v>2472</v>
      </c>
      <c r="I454" s="405" t="s">
        <v>478</v>
      </c>
      <c r="J454" s="380" t="s">
        <v>479</v>
      </c>
      <c r="K454" s="409" t="str">
        <f t="shared" si="11"/>
        <v/>
      </c>
    </row>
    <row r="455" spans="1:11" ht="15.75" customHeight="1">
      <c r="A455" s="445" t="s">
        <v>481</v>
      </c>
      <c r="B455" t="s">
        <v>2473</v>
      </c>
      <c r="C455" s="445" t="s">
        <v>2474</v>
      </c>
      <c r="D455" s="407" t="str">
        <f t="shared" si="10"/>
        <v>LVA Lettland</v>
      </c>
      <c r="E455" s="405" t="s">
        <v>2475</v>
      </c>
      <c r="F455" s="408" t="s">
        <v>2476</v>
      </c>
      <c r="G455" s="405" t="s">
        <v>2477</v>
      </c>
      <c r="H455" s="405" t="s">
        <v>2478</v>
      </c>
      <c r="I455" s="405" t="s">
        <v>2479</v>
      </c>
      <c r="J455" s="380" t="s">
        <v>481</v>
      </c>
      <c r="K455" s="409" t="str">
        <f t="shared" si="11"/>
        <v/>
      </c>
    </row>
    <row r="456" spans="1:11" ht="15.75" customHeight="1">
      <c r="A456" s="445" t="s">
        <v>483</v>
      </c>
      <c r="B456" t="s">
        <v>2480</v>
      </c>
      <c r="C456" s="445" t="s">
        <v>2481</v>
      </c>
      <c r="D456" s="407" t="str">
        <f t="shared" si="10"/>
        <v>MAC Macao</v>
      </c>
      <c r="E456" s="405" t="s">
        <v>2482</v>
      </c>
      <c r="F456" s="408" t="s">
        <v>2483</v>
      </c>
      <c r="G456" s="405" t="s">
        <v>2483</v>
      </c>
      <c r="H456" s="405" t="s">
        <v>2482</v>
      </c>
      <c r="I456" s="405" t="s">
        <v>2482</v>
      </c>
      <c r="J456" s="380" t="s">
        <v>483</v>
      </c>
      <c r="K456" s="409" t="str">
        <f t="shared" si="11"/>
        <v/>
      </c>
    </row>
    <row r="457" spans="1:11" ht="15.75" customHeight="1">
      <c r="A457" s="445" t="s">
        <v>485</v>
      </c>
      <c r="B457" t="s">
        <v>2484</v>
      </c>
      <c r="C457" s="445" t="s">
        <v>2485</v>
      </c>
      <c r="D457" s="407" t="str">
        <f t="shared" si="10"/>
        <v>MAF Saint-Martin (franz. Teil)</v>
      </c>
      <c r="E457" s="405" t="s">
        <v>2486</v>
      </c>
      <c r="F457" s="408" t="s">
        <v>2487</v>
      </c>
      <c r="G457" s="405" t="s">
        <v>2488</v>
      </c>
      <c r="H457" s="405" t="s">
        <v>2489</v>
      </c>
      <c r="I457" s="405" t="s">
        <v>2490</v>
      </c>
      <c r="J457" s="380" t="s">
        <v>485</v>
      </c>
      <c r="K457" s="409" t="str">
        <f t="shared" si="11"/>
        <v/>
      </c>
    </row>
    <row r="458" spans="1:11" ht="15.75" customHeight="1">
      <c r="A458" s="445" t="s">
        <v>487</v>
      </c>
      <c r="B458" t="s">
        <v>2491</v>
      </c>
      <c r="C458" s="445" t="s">
        <v>2492</v>
      </c>
      <c r="D458" s="407" t="str">
        <f t="shared" si="10"/>
        <v>MAR Marokko</v>
      </c>
      <c r="E458" s="405" t="s">
        <v>2493</v>
      </c>
      <c r="F458" s="408" t="s">
        <v>2494</v>
      </c>
      <c r="G458" s="405" t="s">
        <v>2495</v>
      </c>
      <c r="H458" s="405" t="s">
        <v>2496</v>
      </c>
      <c r="I458" s="405" t="s">
        <v>2497</v>
      </c>
      <c r="J458" s="380" t="s">
        <v>487</v>
      </c>
      <c r="K458" s="409" t="str">
        <f t="shared" si="11"/>
        <v/>
      </c>
    </row>
    <row r="459" spans="1:11" ht="15.75" customHeight="1">
      <c r="A459" s="445" t="s">
        <v>489</v>
      </c>
      <c r="B459" t="s">
        <v>2498</v>
      </c>
      <c r="C459" s="445" t="s">
        <v>2499</v>
      </c>
      <c r="D459" s="407" t="str">
        <f t="shared" si="10"/>
        <v>MCO Monaco</v>
      </c>
      <c r="E459" s="405" t="s">
        <v>488</v>
      </c>
      <c r="F459" s="408" t="s">
        <v>2500</v>
      </c>
      <c r="G459" s="405" t="s">
        <v>2501</v>
      </c>
      <c r="H459" s="405" t="s">
        <v>2502</v>
      </c>
      <c r="I459" s="405" t="s">
        <v>488</v>
      </c>
      <c r="J459" s="380" t="s">
        <v>489</v>
      </c>
      <c r="K459" s="409" t="str">
        <f t="shared" si="11"/>
        <v/>
      </c>
    </row>
    <row r="460" spans="1:11" ht="15.75" customHeight="1">
      <c r="A460" s="445" t="s">
        <v>491</v>
      </c>
      <c r="B460" t="s">
        <v>2503</v>
      </c>
      <c r="C460" s="445" t="s">
        <v>2504</v>
      </c>
      <c r="D460" s="407" t="str">
        <f t="shared" si="10"/>
        <v>MDA Moldawien (Republik Moldau)</v>
      </c>
      <c r="E460" s="405" t="s">
        <v>2505</v>
      </c>
      <c r="F460" s="408" t="s">
        <v>2506</v>
      </c>
      <c r="G460" s="405" t="s">
        <v>2507</v>
      </c>
      <c r="H460" s="405" t="s">
        <v>2508</v>
      </c>
      <c r="I460" s="405" t="s">
        <v>2509</v>
      </c>
      <c r="J460" s="380" t="s">
        <v>491</v>
      </c>
      <c r="K460" s="409" t="str">
        <f t="shared" si="11"/>
        <v/>
      </c>
    </row>
    <row r="461" spans="1:11" ht="15.75" customHeight="1">
      <c r="A461" s="445" t="s">
        <v>493</v>
      </c>
      <c r="B461" t="s">
        <v>2510</v>
      </c>
      <c r="C461" s="445" t="s">
        <v>2511</v>
      </c>
      <c r="D461" s="407" t="str">
        <f t="shared" si="10"/>
        <v>MDG Madagaskar</v>
      </c>
      <c r="E461" s="405" t="s">
        <v>2512</v>
      </c>
      <c r="F461" s="408" t="s">
        <v>2513</v>
      </c>
      <c r="G461" s="405" t="s">
        <v>2513</v>
      </c>
      <c r="H461" s="405" t="s">
        <v>492</v>
      </c>
      <c r="I461" s="405" t="s">
        <v>492</v>
      </c>
      <c r="J461" s="380" t="s">
        <v>493</v>
      </c>
      <c r="K461" s="409" t="str">
        <f t="shared" si="11"/>
        <v/>
      </c>
    </row>
    <row r="462" spans="1:11" ht="15.75" customHeight="1">
      <c r="A462" s="445" t="s">
        <v>495</v>
      </c>
      <c r="B462" t="s">
        <v>2514</v>
      </c>
      <c r="C462" s="445" t="s">
        <v>2515</v>
      </c>
      <c r="D462" s="407" t="str">
        <f t="shared" si="10"/>
        <v>MDV Malediven</v>
      </c>
      <c r="E462" s="405" t="s">
        <v>2516</v>
      </c>
      <c r="F462" s="408" t="s">
        <v>2517</v>
      </c>
      <c r="G462" s="405" t="s">
        <v>2518</v>
      </c>
      <c r="H462" s="405" t="s">
        <v>2519</v>
      </c>
      <c r="I462" s="405" t="s">
        <v>494</v>
      </c>
      <c r="J462" s="380" t="s">
        <v>495</v>
      </c>
      <c r="K462" s="409" t="str">
        <f t="shared" si="11"/>
        <v/>
      </c>
    </row>
    <row r="463" spans="1:11" ht="15.75" customHeight="1">
      <c r="A463" s="445" t="s">
        <v>497</v>
      </c>
      <c r="B463" t="s">
        <v>2520</v>
      </c>
      <c r="C463" s="445" t="s">
        <v>2521</v>
      </c>
      <c r="D463" s="407" t="str">
        <f t="shared" si="10"/>
        <v>MEX Mexiko</v>
      </c>
      <c r="E463" s="405" t="s">
        <v>2522</v>
      </c>
      <c r="F463" s="408" t="s">
        <v>2523</v>
      </c>
      <c r="G463" s="405" t="s">
        <v>2524</v>
      </c>
      <c r="H463" s="405" t="s">
        <v>2525</v>
      </c>
      <c r="I463" s="405" t="s">
        <v>2526</v>
      </c>
      <c r="J463" s="380" t="s">
        <v>497</v>
      </c>
      <c r="K463" s="409" t="str">
        <f t="shared" si="11"/>
        <v/>
      </c>
    </row>
    <row r="464" spans="1:11" ht="15.75" customHeight="1">
      <c r="A464" s="445" t="s">
        <v>499</v>
      </c>
      <c r="B464" t="s">
        <v>2527</v>
      </c>
      <c r="C464" s="445" t="s">
        <v>2528</v>
      </c>
      <c r="D464" s="407" t="str">
        <f t="shared" si="10"/>
        <v>MHL Marshallinseln</v>
      </c>
      <c r="E464" s="405" t="s">
        <v>2529</v>
      </c>
      <c r="F464" s="408" t="s">
        <v>2530</v>
      </c>
      <c r="G464" s="405" t="s">
        <v>2531</v>
      </c>
      <c r="H464" s="405" t="s">
        <v>2532</v>
      </c>
      <c r="I464" s="405" t="s">
        <v>2533</v>
      </c>
      <c r="J464" s="380" t="s">
        <v>499</v>
      </c>
      <c r="K464" s="409" t="str">
        <f t="shared" si="11"/>
        <v/>
      </c>
    </row>
    <row r="465" spans="1:11" ht="15.75" customHeight="1">
      <c r="A465" s="445" t="s">
        <v>501</v>
      </c>
      <c r="B465" t="s">
        <v>2534</v>
      </c>
      <c r="C465" s="445" t="s">
        <v>2535</v>
      </c>
      <c r="D465" s="407" t="str">
        <f t="shared" si="10"/>
        <v>MKD Mazedonien</v>
      </c>
      <c r="E465" s="405" t="s">
        <v>2536</v>
      </c>
      <c r="F465" s="408" t="s">
        <v>2537</v>
      </c>
      <c r="G465" s="405" t="s">
        <v>2538</v>
      </c>
      <c r="H465" s="405" t="s">
        <v>2539</v>
      </c>
      <c r="I465" s="405" t="s">
        <v>2540</v>
      </c>
      <c r="J465" s="380" t="s">
        <v>501</v>
      </c>
      <c r="K465" s="409" t="str">
        <f t="shared" si="11"/>
        <v/>
      </c>
    </row>
    <row r="466" spans="1:11" ht="15.75" customHeight="1">
      <c r="A466" s="445" t="s">
        <v>503</v>
      </c>
      <c r="B466" t="s">
        <v>2541</v>
      </c>
      <c r="C466" s="445" t="s">
        <v>2542</v>
      </c>
      <c r="D466" s="407" t="str">
        <f t="shared" si="10"/>
        <v>MLI Mali</v>
      </c>
      <c r="E466" s="405" t="s">
        <v>502</v>
      </c>
      <c r="F466" s="408" t="s">
        <v>2543</v>
      </c>
      <c r="G466" s="405" t="s">
        <v>2543</v>
      </c>
      <c r="H466" s="405" t="s">
        <v>2544</v>
      </c>
      <c r="I466" s="405" t="s">
        <v>502</v>
      </c>
      <c r="J466" s="380" t="s">
        <v>503</v>
      </c>
      <c r="K466" s="409" t="str">
        <f t="shared" si="11"/>
        <v/>
      </c>
    </row>
    <row r="467" spans="1:11" ht="15.75" customHeight="1">
      <c r="A467" s="445" t="s">
        <v>505</v>
      </c>
      <c r="B467" t="s">
        <v>2545</v>
      </c>
      <c r="C467" s="445" t="s">
        <v>2546</v>
      </c>
      <c r="D467" s="407" t="str">
        <f t="shared" ref="D467:D530" si="12">A467&amp;" "&amp;HLOOKUP($C$1,$E$1:$V$4910,ROW(D467))</f>
        <v>MLT Malta</v>
      </c>
      <c r="E467" s="405" t="s">
        <v>504</v>
      </c>
      <c r="F467" s="408" t="s">
        <v>2547</v>
      </c>
      <c r="G467" s="405" t="s">
        <v>2547</v>
      </c>
      <c r="H467" s="405" t="s">
        <v>504</v>
      </c>
      <c r="I467" s="405" t="s">
        <v>2548</v>
      </c>
      <c r="J467" s="380" t="s">
        <v>505</v>
      </c>
      <c r="K467" s="409" t="str">
        <f t="shared" ref="K467:K530" si="13">IF(J467=A467,"","nix")</f>
        <v/>
      </c>
    </row>
    <row r="468" spans="1:11" ht="15.75" customHeight="1">
      <c r="A468" s="445" t="s">
        <v>507</v>
      </c>
      <c r="B468" t="s">
        <v>2549</v>
      </c>
      <c r="C468" s="445" t="s">
        <v>2550</v>
      </c>
      <c r="D468" s="407" t="str">
        <f t="shared" si="12"/>
        <v>MMR Myanmar (Burma)</v>
      </c>
      <c r="E468" s="405" t="s">
        <v>2551</v>
      </c>
      <c r="F468" s="408" t="s">
        <v>2552</v>
      </c>
      <c r="G468" s="405" t="s">
        <v>2553</v>
      </c>
      <c r="H468" s="405" t="s">
        <v>2554</v>
      </c>
      <c r="I468" s="405" t="s">
        <v>506</v>
      </c>
      <c r="J468" s="380" t="s">
        <v>507</v>
      </c>
      <c r="K468" s="409" t="str">
        <f t="shared" si="13"/>
        <v/>
      </c>
    </row>
    <row r="469" spans="1:11" ht="15.75" customHeight="1">
      <c r="A469" s="445" t="s">
        <v>509</v>
      </c>
      <c r="B469" t="s">
        <v>2555</v>
      </c>
      <c r="C469" s="445" t="s">
        <v>2556</v>
      </c>
      <c r="D469" s="407" t="str">
        <f t="shared" si="12"/>
        <v>MNE Montenegro</v>
      </c>
      <c r="E469" s="405" t="s">
        <v>508</v>
      </c>
      <c r="F469" s="408" t="s">
        <v>2557</v>
      </c>
      <c r="G469" s="405" t="s">
        <v>2557</v>
      </c>
      <c r="H469" s="405" t="s">
        <v>508</v>
      </c>
      <c r="I469" s="405" t="s">
        <v>2558</v>
      </c>
      <c r="J469" s="380" t="s">
        <v>509</v>
      </c>
      <c r="K469" s="409" t="str">
        <f t="shared" si="13"/>
        <v/>
      </c>
    </row>
    <row r="470" spans="1:11" ht="15.75" customHeight="1">
      <c r="A470" s="445" t="s">
        <v>511</v>
      </c>
      <c r="B470" t="s">
        <v>2559</v>
      </c>
      <c r="C470" s="445" t="s">
        <v>2560</v>
      </c>
      <c r="D470" s="407" t="str">
        <f t="shared" si="12"/>
        <v>MNG Mongolei</v>
      </c>
      <c r="E470" s="405" t="s">
        <v>2561</v>
      </c>
      <c r="F470" s="408" t="s">
        <v>2562</v>
      </c>
      <c r="G470" s="405" t="s">
        <v>2562</v>
      </c>
      <c r="H470" s="405" t="s">
        <v>510</v>
      </c>
      <c r="I470" s="405" t="s">
        <v>2563</v>
      </c>
      <c r="J470" s="380" t="s">
        <v>511</v>
      </c>
      <c r="K470" s="409" t="str">
        <f t="shared" si="13"/>
        <v/>
      </c>
    </row>
    <row r="471" spans="1:11" ht="15.75" customHeight="1">
      <c r="A471" s="445" t="s">
        <v>513</v>
      </c>
      <c r="B471" t="s">
        <v>2564</v>
      </c>
      <c r="C471" s="445" t="s">
        <v>2565</v>
      </c>
      <c r="D471" s="407" t="str">
        <f t="shared" si="12"/>
        <v>MNP Nördliche Marianen</v>
      </c>
      <c r="E471" s="405" t="s">
        <v>2566</v>
      </c>
      <c r="F471" s="408" t="s">
        <v>2567</v>
      </c>
      <c r="G471" s="405" t="s">
        <v>2568</v>
      </c>
      <c r="H471" s="405" t="s">
        <v>2569</v>
      </c>
      <c r="I471" s="405" t="s">
        <v>2570</v>
      </c>
      <c r="J471" s="380" t="s">
        <v>513</v>
      </c>
      <c r="K471" s="409" t="str">
        <f t="shared" si="13"/>
        <v/>
      </c>
    </row>
    <row r="472" spans="1:11" ht="15.75" customHeight="1">
      <c r="A472" s="445" t="s">
        <v>515</v>
      </c>
      <c r="B472" t="s">
        <v>2571</v>
      </c>
      <c r="C472" s="445" t="s">
        <v>2572</v>
      </c>
      <c r="D472" s="407" t="str">
        <f t="shared" si="12"/>
        <v>MOZ Mosambik</v>
      </c>
      <c r="E472" s="405" t="s">
        <v>2573</v>
      </c>
      <c r="F472" s="408" t="s">
        <v>2574</v>
      </c>
      <c r="G472" s="405" t="s">
        <v>2575</v>
      </c>
      <c r="H472" s="405" t="s">
        <v>514</v>
      </c>
      <c r="I472" s="405" t="s">
        <v>514</v>
      </c>
      <c r="J472" s="380" t="s">
        <v>515</v>
      </c>
      <c r="K472" s="409" t="str">
        <f t="shared" si="13"/>
        <v/>
      </c>
    </row>
    <row r="473" spans="1:11" ht="15.75" customHeight="1">
      <c r="A473" s="445" t="s">
        <v>517</v>
      </c>
      <c r="B473" t="s">
        <v>2576</v>
      </c>
      <c r="C473" s="445" t="s">
        <v>2577</v>
      </c>
      <c r="D473" s="407" t="str">
        <f t="shared" si="12"/>
        <v>MRT Mauretanien</v>
      </c>
      <c r="E473" s="405" t="s">
        <v>2578</v>
      </c>
      <c r="F473" s="408" t="s">
        <v>2579</v>
      </c>
      <c r="G473" s="405" t="s">
        <v>2579</v>
      </c>
      <c r="H473" s="405" t="s">
        <v>516</v>
      </c>
      <c r="I473" s="405" t="s">
        <v>2580</v>
      </c>
      <c r="J473" s="380" t="s">
        <v>517</v>
      </c>
      <c r="K473" s="409" t="str">
        <f t="shared" si="13"/>
        <v/>
      </c>
    </row>
    <row r="474" spans="1:11" ht="15.75" customHeight="1">
      <c r="A474" s="445" t="s">
        <v>519</v>
      </c>
      <c r="B474" t="s">
        <v>2581</v>
      </c>
      <c r="C474" s="445" t="s">
        <v>2582</v>
      </c>
      <c r="D474" s="407" t="str">
        <f t="shared" si="12"/>
        <v>MUS Mauritius</v>
      </c>
      <c r="E474" s="405" t="s">
        <v>518</v>
      </c>
      <c r="F474" s="408" t="s">
        <v>2583</v>
      </c>
      <c r="G474" s="405" t="s">
        <v>2583</v>
      </c>
      <c r="H474" s="405" t="s">
        <v>2584</v>
      </c>
      <c r="I474" s="405" t="s">
        <v>2585</v>
      </c>
      <c r="J474" s="380" t="s">
        <v>519</v>
      </c>
      <c r="K474" s="409" t="str">
        <f t="shared" si="13"/>
        <v/>
      </c>
    </row>
    <row r="475" spans="1:11" ht="15.75" customHeight="1">
      <c r="A475" s="445" t="s">
        <v>521</v>
      </c>
      <c r="B475" t="s">
        <v>2586</v>
      </c>
      <c r="C475" s="445" t="s">
        <v>2587</v>
      </c>
      <c r="D475" s="407" t="str">
        <f t="shared" si="12"/>
        <v>MWI Malawi</v>
      </c>
      <c r="E475" s="405" t="s">
        <v>520</v>
      </c>
      <c r="F475" s="408" t="s">
        <v>2588</v>
      </c>
      <c r="G475" s="405" t="s">
        <v>2588</v>
      </c>
      <c r="H475" s="405" t="s">
        <v>2589</v>
      </c>
      <c r="I475" s="405" t="s">
        <v>520</v>
      </c>
      <c r="J475" s="380" t="s">
        <v>521</v>
      </c>
      <c r="K475" s="409" t="str">
        <f t="shared" si="13"/>
        <v/>
      </c>
    </row>
    <row r="476" spans="1:11" ht="15.75" customHeight="1">
      <c r="A476" s="445" t="s">
        <v>523</v>
      </c>
      <c r="B476" t="s">
        <v>2590</v>
      </c>
      <c r="C476" s="445" t="s">
        <v>2591</v>
      </c>
      <c r="D476" s="407" t="str">
        <f t="shared" si="12"/>
        <v>MYS Malaysia</v>
      </c>
      <c r="E476" s="405" t="s">
        <v>522</v>
      </c>
      <c r="F476" s="408" t="s">
        <v>2592</v>
      </c>
      <c r="G476" s="405" t="s">
        <v>2593</v>
      </c>
      <c r="H476" s="405" t="s">
        <v>2594</v>
      </c>
      <c r="I476" s="405" t="s">
        <v>2595</v>
      </c>
      <c r="J476" s="380" t="s">
        <v>523</v>
      </c>
      <c r="K476" s="409" t="str">
        <f t="shared" si="13"/>
        <v/>
      </c>
    </row>
    <row r="477" spans="1:11" ht="15.75" customHeight="1">
      <c r="A477" s="445" t="s">
        <v>525</v>
      </c>
      <c r="B477" t="s">
        <v>2596</v>
      </c>
      <c r="C477" s="445" t="s">
        <v>2597</v>
      </c>
      <c r="D477" s="407" t="str">
        <f t="shared" si="12"/>
        <v>NAM Namibia</v>
      </c>
      <c r="E477" s="405" t="s">
        <v>524</v>
      </c>
      <c r="F477" s="408" t="s">
        <v>2598</v>
      </c>
      <c r="G477" s="405" t="s">
        <v>2598</v>
      </c>
      <c r="H477" s="405" t="s">
        <v>524</v>
      </c>
      <c r="I477" s="405" t="s">
        <v>2599</v>
      </c>
      <c r="J477" s="380" t="s">
        <v>525</v>
      </c>
      <c r="K477" s="409" t="str">
        <f t="shared" si="13"/>
        <v/>
      </c>
    </row>
    <row r="478" spans="1:11" ht="15.75" customHeight="1">
      <c r="A478" s="445" t="s">
        <v>527</v>
      </c>
      <c r="B478" t="s">
        <v>2600</v>
      </c>
      <c r="C478" s="445" t="s">
        <v>2601</v>
      </c>
      <c r="D478" s="407" t="str">
        <f t="shared" si="12"/>
        <v>NCL Neukaledonien</v>
      </c>
      <c r="E478" s="405" t="s">
        <v>2602</v>
      </c>
      <c r="F478" s="408" t="s">
        <v>2603</v>
      </c>
      <c r="G478" s="405" t="s">
        <v>2604</v>
      </c>
      <c r="H478" s="405" t="s">
        <v>2605</v>
      </c>
      <c r="I478" s="405" t="s">
        <v>2606</v>
      </c>
      <c r="J478" s="380" t="s">
        <v>527</v>
      </c>
      <c r="K478" s="409" t="str">
        <f t="shared" si="13"/>
        <v/>
      </c>
    </row>
    <row r="479" spans="1:11" ht="15.75" customHeight="1">
      <c r="A479" s="445" t="s">
        <v>529</v>
      </c>
      <c r="B479" t="s">
        <v>2607</v>
      </c>
      <c r="C479" s="445" t="s">
        <v>2608</v>
      </c>
      <c r="D479" s="407" t="str">
        <f t="shared" si="12"/>
        <v>NER Niger</v>
      </c>
      <c r="E479" s="405" t="s">
        <v>528</v>
      </c>
      <c r="F479" s="408" t="s">
        <v>2609</v>
      </c>
      <c r="G479" s="405" t="s">
        <v>2609</v>
      </c>
      <c r="H479" s="405" t="s">
        <v>2610</v>
      </c>
      <c r="I479" s="405" t="s">
        <v>528</v>
      </c>
      <c r="J479" s="380" t="s">
        <v>529</v>
      </c>
      <c r="K479" s="409" t="str">
        <f t="shared" si="13"/>
        <v/>
      </c>
    </row>
    <row r="480" spans="1:11" ht="15.75" customHeight="1">
      <c r="A480" s="445" t="s">
        <v>531</v>
      </c>
      <c r="B480" t="s">
        <v>2611</v>
      </c>
      <c r="C480" s="445" t="s">
        <v>2612</v>
      </c>
      <c r="D480" s="407" t="str">
        <f t="shared" si="12"/>
        <v>NGA Nigeria</v>
      </c>
      <c r="E480" s="405" t="s">
        <v>530</v>
      </c>
      <c r="F480" s="408" t="s">
        <v>2613</v>
      </c>
      <c r="G480" s="405" t="s">
        <v>2613</v>
      </c>
      <c r="H480" s="405" t="s">
        <v>530</v>
      </c>
      <c r="I480" s="405" t="s">
        <v>2614</v>
      </c>
      <c r="J480" s="380" t="s">
        <v>531</v>
      </c>
      <c r="K480" s="409" t="str">
        <f t="shared" si="13"/>
        <v/>
      </c>
    </row>
    <row r="481" spans="1:11" ht="15.75" customHeight="1">
      <c r="A481" s="445" t="s">
        <v>533</v>
      </c>
      <c r="B481" t="s">
        <v>2615</v>
      </c>
      <c r="C481" s="445" t="s">
        <v>2616</v>
      </c>
      <c r="D481" s="407" t="str">
        <f t="shared" si="12"/>
        <v>NIC Nicaragua</v>
      </c>
      <c r="E481" s="405" t="s">
        <v>532</v>
      </c>
      <c r="F481" s="408" t="s">
        <v>2617</v>
      </c>
      <c r="G481" s="405" t="s">
        <v>2617</v>
      </c>
      <c r="H481" s="405" t="s">
        <v>532</v>
      </c>
      <c r="I481" s="405" t="s">
        <v>532</v>
      </c>
      <c r="J481" s="380" t="s">
        <v>533</v>
      </c>
      <c r="K481" s="409" t="str">
        <f t="shared" si="13"/>
        <v/>
      </c>
    </row>
    <row r="482" spans="1:11" ht="15.75" customHeight="1">
      <c r="A482" s="445" t="s">
        <v>535</v>
      </c>
      <c r="B482" t="s">
        <v>2618</v>
      </c>
      <c r="C482" s="445" t="s">
        <v>2619</v>
      </c>
      <c r="D482" s="407" t="str">
        <f t="shared" si="12"/>
        <v>NLD Niederlande</v>
      </c>
      <c r="E482" s="405" t="s">
        <v>2620</v>
      </c>
      <c r="F482" s="408" t="s">
        <v>2621</v>
      </c>
      <c r="G482" s="405" t="s">
        <v>2622</v>
      </c>
      <c r="H482" s="405" t="s">
        <v>2623</v>
      </c>
      <c r="I482" s="405" t="s">
        <v>2624</v>
      </c>
      <c r="J482" s="380" t="s">
        <v>535</v>
      </c>
      <c r="K482" s="409" t="str">
        <f t="shared" si="13"/>
        <v/>
      </c>
    </row>
    <row r="483" spans="1:11" ht="15.75" customHeight="1">
      <c r="A483" s="445" t="s">
        <v>537</v>
      </c>
      <c r="B483" t="s">
        <v>2625</v>
      </c>
      <c r="C483" s="445" t="s">
        <v>2626</v>
      </c>
      <c r="D483" s="407" t="str">
        <f t="shared" si="12"/>
        <v>NOR Norwegen</v>
      </c>
      <c r="E483" s="405" t="s">
        <v>2627</v>
      </c>
      <c r="F483" s="408" t="s">
        <v>2628</v>
      </c>
      <c r="G483" s="405" t="s">
        <v>2629</v>
      </c>
      <c r="H483" s="405" t="s">
        <v>2630</v>
      </c>
      <c r="I483" s="405" t="s">
        <v>2631</v>
      </c>
      <c r="J483" s="380" t="s">
        <v>537</v>
      </c>
      <c r="K483" s="409" t="str">
        <f t="shared" si="13"/>
        <v/>
      </c>
    </row>
    <row r="484" spans="1:11" ht="15.75" customHeight="1">
      <c r="A484" s="445" t="s">
        <v>539</v>
      </c>
      <c r="B484" t="s">
        <v>2632</v>
      </c>
      <c r="C484" s="445" t="s">
        <v>2633</v>
      </c>
      <c r="D484" s="407" t="str">
        <f t="shared" si="12"/>
        <v>NPL Nepal</v>
      </c>
      <c r="E484" s="405" t="s">
        <v>538</v>
      </c>
      <c r="F484" s="408" t="s">
        <v>2634</v>
      </c>
      <c r="G484" s="405" t="s">
        <v>2634</v>
      </c>
      <c r="H484" s="405" t="s">
        <v>538</v>
      </c>
      <c r="I484" s="405" t="s">
        <v>2635</v>
      </c>
      <c r="J484" s="380" t="s">
        <v>539</v>
      </c>
      <c r="K484" s="409" t="str">
        <f t="shared" si="13"/>
        <v/>
      </c>
    </row>
    <row r="485" spans="1:11" ht="15.75" customHeight="1">
      <c r="A485" s="445" t="s">
        <v>541</v>
      </c>
      <c r="B485" t="s">
        <v>2636</v>
      </c>
      <c r="C485" s="445" t="s">
        <v>2637</v>
      </c>
      <c r="D485" s="407" t="str">
        <f t="shared" si="12"/>
        <v>NRU Nauru</v>
      </c>
      <c r="E485" s="405" t="s">
        <v>540</v>
      </c>
      <c r="F485" s="408" t="s">
        <v>2638</v>
      </c>
      <c r="G485" s="405" t="s">
        <v>2638</v>
      </c>
      <c r="H485" s="405" t="s">
        <v>540</v>
      </c>
      <c r="I485" s="405" t="s">
        <v>540</v>
      </c>
      <c r="J485" s="380" t="s">
        <v>541</v>
      </c>
      <c r="K485" s="409" t="str">
        <f t="shared" si="13"/>
        <v/>
      </c>
    </row>
    <row r="486" spans="1:11" ht="15.75" customHeight="1">
      <c r="A486" s="445" t="s">
        <v>543</v>
      </c>
      <c r="B486" t="s">
        <v>2639</v>
      </c>
      <c r="C486" s="445" t="s">
        <v>2640</v>
      </c>
      <c r="D486" s="407" t="str">
        <f t="shared" si="12"/>
        <v>NZL Neuseeland</v>
      </c>
      <c r="E486" s="405" t="s">
        <v>2641</v>
      </c>
      <c r="F486" s="408" t="s">
        <v>2642</v>
      </c>
      <c r="G486" s="405" t="s">
        <v>2643</v>
      </c>
      <c r="H486" s="405" t="s">
        <v>2644</v>
      </c>
      <c r="I486" s="405" t="s">
        <v>2645</v>
      </c>
      <c r="J486" s="380" t="s">
        <v>543</v>
      </c>
      <c r="K486" s="409" t="str">
        <f t="shared" si="13"/>
        <v/>
      </c>
    </row>
    <row r="487" spans="1:11" ht="15.75" customHeight="1">
      <c r="A487" s="445" t="s">
        <v>545</v>
      </c>
      <c r="B487" t="s">
        <v>2646</v>
      </c>
      <c r="C487" s="445" t="s">
        <v>2647</v>
      </c>
      <c r="D487" s="407" t="str">
        <f t="shared" si="12"/>
        <v>OMN Oman</v>
      </c>
      <c r="E487" s="405" t="s">
        <v>544</v>
      </c>
      <c r="F487" s="408" t="s">
        <v>2648</v>
      </c>
      <c r="G487" s="405" t="s">
        <v>2648</v>
      </c>
      <c r="H487" s="405" t="s">
        <v>2649</v>
      </c>
      <c r="I487" s="405" t="s">
        <v>544</v>
      </c>
      <c r="J487" s="380" t="s">
        <v>545</v>
      </c>
      <c r="K487" s="409" t="str">
        <f t="shared" si="13"/>
        <v/>
      </c>
    </row>
    <row r="488" spans="1:11" ht="15.75" customHeight="1">
      <c r="A488" s="445" t="s">
        <v>547</v>
      </c>
      <c r="B488" t="s">
        <v>2650</v>
      </c>
      <c r="C488" s="445" t="s">
        <v>2651</v>
      </c>
      <c r="D488" s="407" t="str">
        <f t="shared" si="12"/>
        <v>PAK Pakistan</v>
      </c>
      <c r="E488" s="405" t="s">
        <v>546</v>
      </c>
      <c r="F488" s="408" t="s">
        <v>2652</v>
      </c>
      <c r="G488" s="405" t="s">
        <v>2652</v>
      </c>
      <c r="H488" s="405" t="s">
        <v>2653</v>
      </c>
      <c r="I488" s="405" t="s">
        <v>546</v>
      </c>
      <c r="J488" s="380" t="s">
        <v>547</v>
      </c>
      <c r="K488" s="409" t="str">
        <f t="shared" si="13"/>
        <v/>
      </c>
    </row>
    <row r="489" spans="1:11" ht="15.75" customHeight="1">
      <c r="A489" s="445" t="s">
        <v>549</v>
      </c>
      <c r="B489" t="s">
        <v>2654</v>
      </c>
      <c r="C489" s="445" t="s">
        <v>2655</v>
      </c>
      <c r="D489" s="407" t="str">
        <f t="shared" si="12"/>
        <v>PAN Panama</v>
      </c>
      <c r="E489" s="405" t="s">
        <v>548</v>
      </c>
      <c r="F489" s="408" t="s">
        <v>2656</v>
      </c>
      <c r="G489" s="405" t="s">
        <v>2657</v>
      </c>
      <c r="H489" s="405" t="s">
        <v>2658</v>
      </c>
      <c r="I489" s="405" t="s">
        <v>548</v>
      </c>
      <c r="J489" s="380" t="s">
        <v>549</v>
      </c>
      <c r="K489" s="409" t="str">
        <f t="shared" si="13"/>
        <v/>
      </c>
    </row>
    <row r="490" spans="1:11" ht="15.75" customHeight="1">
      <c r="A490" s="445" t="s">
        <v>551</v>
      </c>
      <c r="B490" t="s">
        <v>2659</v>
      </c>
      <c r="C490" s="445" t="s">
        <v>2660</v>
      </c>
      <c r="D490" s="407" t="str">
        <f t="shared" si="12"/>
        <v>PER Peru</v>
      </c>
      <c r="E490" s="405" t="s">
        <v>550</v>
      </c>
      <c r="F490" s="408" t="s">
        <v>2661</v>
      </c>
      <c r="G490" s="405" t="s">
        <v>2662</v>
      </c>
      <c r="H490" s="405" t="s">
        <v>2663</v>
      </c>
      <c r="I490" s="405" t="s">
        <v>2664</v>
      </c>
      <c r="J490" s="380" t="s">
        <v>551</v>
      </c>
      <c r="K490" s="409" t="str">
        <f t="shared" si="13"/>
        <v/>
      </c>
    </row>
    <row r="491" spans="1:11" ht="15.75" customHeight="1">
      <c r="A491" s="445" t="s">
        <v>553</v>
      </c>
      <c r="B491" t="s">
        <v>2665</v>
      </c>
      <c r="C491" s="445" t="s">
        <v>2666</v>
      </c>
      <c r="D491" s="407" t="str">
        <f t="shared" si="12"/>
        <v>PHL Philippinen</v>
      </c>
      <c r="E491" s="405" t="s">
        <v>2667</v>
      </c>
      <c r="F491" s="408" t="s">
        <v>2668</v>
      </c>
      <c r="G491" s="405" t="s">
        <v>2669</v>
      </c>
      <c r="H491" s="405" t="s">
        <v>2670</v>
      </c>
      <c r="I491" s="405" t="s">
        <v>552</v>
      </c>
      <c r="J491" s="380" t="s">
        <v>553</v>
      </c>
      <c r="K491" s="409" t="str">
        <f t="shared" si="13"/>
        <v/>
      </c>
    </row>
    <row r="492" spans="1:11" ht="15.75" customHeight="1">
      <c r="A492" s="445" t="s">
        <v>555</v>
      </c>
      <c r="B492" t="s">
        <v>2671</v>
      </c>
      <c r="C492" s="445" t="s">
        <v>2672</v>
      </c>
      <c r="D492" s="407" t="str">
        <f t="shared" si="12"/>
        <v>PLW Palau</v>
      </c>
      <c r="E492" s="405" t="s">
        <v>554</v>
      </c>
      <c r="F492" s="408" t="s">
        <v>2673</v>
      </c>
      <c r="G492" s="405" t="s">
        <v>2673</v>
      </c>
      <c r="H492" s="405" t="s">
        <v>2674</v>
      </c>
      <c r="I492" s="405" t="s">
        <v>2674</v>
      </c>
      <c r="J492" s="380" t="s">
        <v>555</v>
      </c>
      <c r="K492" s="409" t="str">
        <f t="shared" si="13"/>
        <v/>
      </c>
    </row>
    <row r="493" spans="1:11" ht="15.75" customHeight="1">
      <c r="A493" s="445" t="s">
        <v>557</v>
      </c>
      <c r="B493" t="s">
        <v>2675</v>
      </c>
      <c r="C493" s="445" t="s">
        <v>2676</v>
      </c>
      <c r="D493" s="407" t="str">
        <f t="shared" si="12"/>
        <v>PNG Papua-Neuguinea</v>
      </c>
      <c r="E493" s="405" t="s">
        <v>2677</v>
      </c>
      <c r="F493" s="408" t="s">
        <v>2678</v>
      </c>
      <c r="G493" s="405" t="s">
        <v>2679</v>
      </c>
      <c r="H493" s="405" t="s">
        <v>2680</v>
      </c>
      <c r="I493" s="405" t="s">
        <v>2681</v>
      </c>
      <c r="J493" s="380" t="s">
        <v>557</v>
      </c>
      <c r="K493" s="409" t="str">
        <f t="shared" si="13"/>
        <v/>
      </c>
    </row>
    <row r="494" spans="1:11" ht="15.75" customHeight="1">
      <c r="A494" s="445" t="s">
        <v>559</v>
      </c>
      <c r="B494" t="s">
        <v>2682</v>
      </c>
      <c r="C494" s="445" t="s">
        <v>2683</v>
      </c>
      <c r="D494" s="407" t="str">
        <f t="shared" si="12"/>
        <v>POL Polen</v>
      </c>
      <c r="E494" s="405" t="s">
        <v>2684</v>
      </c>
      <c r="F494" s="408" t="s">
        <v>2685</v>
      </c>
      <c r="G494" s="405" t="s">
        <v>2686</v>
      </c>
      <c r="H494" s="405" t="s">
        <v>2687</v>
      </c>
      <c r="I494" s="405" t="s">
        <v>2688</v>
      </c>
      <c r="J494" s="380" t="s">
        <v>559</v>
      </c>
      <c r="K494" s="409" t="str">
        <f t="shared" si="13"/>
        <v/>
      </c>
    </row>
    <row r="495" spans="1:11" ht="15.75" customHeight="1">
      <c r="A495" s="445" t="s">
        <v>561</v>
      </c>
      <c r="B495" t="s">
        <v>2689</v>
      </c>
      <c r="C495" s="445" t="s">
        <v>2690</v>
      </c>
      <c r="D495" s="407" t="str">
        <f t="shared" si="12"/>
        <v>PRI Puerto Rico</v>
      </c>
      <c r="E495" s="405" t="s">
        <v>560</v>
      </c>
      <c r="F495" s="408" t="s">
        <v>2691</v>
      </c>
      <c r="G495" s="405" t="s">
        <v>2692</v>
      </c>
      <c r="H495" s="405" t="s">
        <v>560</v>
      </c>
      <c r="I495" s="405" t="s">
        <v>560</v>
      </c>
      <c r="J495" s="380" t="s">
        <v>561</v>
      </c>
      <c r="K495" s="409" t="str">
        <f t="shared" si="13"/>
        <v/>
      </c>
    </row>
    <row r="496" spans="1:11" ht="15.75" customHeight="1">
      <c r="A496" s="445" t="s">
        <v>563</v>
      </c>
      <c r="B496" t="s">
        <v>2693</v>
      </c>
      <c r="C496" s="445" t="s">
        <v>2694</v>
      </c>
      <c r="D496" s="407" t="str">
        <f t="shared" si="12"/>
        <v>PRK Korea, Demokratische Volksrepublik (Nordkorea)</v>
      </c>
      <c r="E496" s="405" t="s">
        <v>2695</v>
      </c>
      <c r="F496" s="408" t="s">
        <v>2696</v>
      </c>
      <c r="G496" s="405" t="s">
        <v>2697</v>
      </c>
      <c r="H496" s="405" t="s">
        <v>2698</v>
      </c>
      <c r="I496" s="405" t="s">
        <v>2699</v>
      </c>
      <c r="J496" s="380" t="s">
        <v>563</v>
      </c>
      <c r="K496" s="409" t="str">
        <f t="shared" si="13"/>
        <v/>
      </c>
    </row>
    <row r="497" spans="1:11" ht="15.75" customHeight="1">
      <c r="A497" s="445" t="s">
        <v>565</v>
      </c>
      <c r="B497" t="s">
        <v>2700</v>
      </c>
      <c r="C497" s="445" t="s">
        <v>2701</v>
      </c>
      <c r="D497" s="407" t="str">
        <f t="shared" si="12"/>
        <v>PRT Portugal</v>
      </c>
      <c r="E497" s="405" t="s">
        <v>564</v>
      </c>
      <c r="F497" s="408" t="s">
        <v>2702</v>
      </c>
      <c r="G497" s="405" t="s">
        <v>2703</v>
      </c>
      <c r="H497" s="405" t="s">
        <v>564</v>
      </c>
      <c r="I497" s="405" t="s">
        <v>564</v>
      </c>
      <c r="J497" s="380" t="s">
        <v>565</v>
      </c>
      <c r="K497" s="409" t="str">
        <f t="shared" si="13"/>
        <v/>
      </c>
    </row>
    <row r="498" spans="1:11" ht="15.75" customHeight="1">
      <c r="A498" s="445" t="s">
        <v>567</v>
      </c>
      <c r="B498" t="s">
        <v>2704</v>
      </c>
      <c r="C498" s="445" t="s">
        <v>2705</v>
      </c>
      <c r="D498" s="407" t="str">
        <f t="shared" si="12"/>
        <v>PRY Paraguay</v>
      </c>
      <c r="E498" s="405" t="s">
        <v>566</v>
      </c>
      <c r="F498" s="408" t="s">
        <v>2706</v>
      </c>
      <c r="G498" s="405" t="s">
        <v>2706</v>
      </c>
      <c r="H498" s="405" t="s">
        <v>566</v>
      </c>
      <c r="I498" s="405" t="s">
        <v>566</v>
      </c>
      <c r="J498" s="380" t="s">
        <v>567</v>
      </c>
      <c r="K498" s="409" t="str">
        <f t="shared" si="13"/>
        <v/>
      </c>
    </row>
    <row r="499" spans="1:11" ht="15.75" customHeight="1">
      <c r="A499" s="445" t="s">
        <v>569</v>
      </c>
      <c r="B499" t="s">
        <v>2707</v>
      </c>
      <c r="C499" s="445" t="s">
        <v>2708</v>
      </c>
      <c r="D499" s="407" t="str">
        <f t="shared" si="12"/>
        <v>PSE Palästinensische Autonomiegebiete</v>
      </c>
      <c r="E499" s="405" t="s">
        <v>2709</v>
      </c>
      <c r="F499" s="408" t="s">
        <v>2710</v>
      </c>
      <c r="G499" s="405" t="s">
        <v>2711</v>
      </c>
      <c r="H499" s="405" t="s">
        <v>2712</v>
      </c>
      <c r="I499" s="405" t="s">
        <v>2713</v>
      </c>
      <c r="J499" s="380" t="s">
        <v>569</v>
      </c>
      <c r="K499" s="409" t="str">
        <f t="shared" si="13"/>
        <v/>
      </c>
    </row>
    <row r="500" spans="1:11" ht="15.75" customHeight="1">
      <c r="A500" s="445" t="s">
        <v>571</v>
      </c>
      <c r="B500" t="s">
        <v>2714</v>
      </c>
      <c r="C500" s="445" t="s">
        <v>2715</v>
      </c>
      <c r="D500" s="407" t="str">
        <f t="shared" si="12"/>
        <v>PYF Französisch-Polynesien</v>
      </c>
      <c r="E500" s="405" t="s">
        <v>2716</v>
      </c>
      <c r="F500" s="408" t="s">
        <v>2717</v>
      </c>
      <c r="G500" s="405" t="s">
        <v>2718</v>
      </c>
      <c r="H500" s="405" t="s">
        <v>2719</v>
      </c>
      <c r="I500" s="405" t="s">
        <v>2720</v>
      </c>
      <c r="J500" s="380" t="s">
        <v>571</v>
      </c>
      <c r="K500" s="409" t="str">
        <f t="shared" si="13"/>
        <v/>
      </c>
    </row>
    <row r="501" spans="1:11" ht="15.75" customHeight="1">
      <c r="A501" s="445" t="s">
        <v>573</v>
      </c>
      <c r="B501" t="s">
        <v>2721</v>
      </c>
      <c r="C501" s="445" t="s">
        <v>2722</v>
      </c>
      <c r="D501" s="407" t="str">
        <f t="shared" si="12"/>
        <v>QAT Katar</v>
      </c>
      <c r="E501" s="405" t="s">
        <v>2723</v>
      </c>
      <c r="F501" s="408" t="s">
        <v>2724</v>
      </c>
      <c r="G501" s="405" t="s">
        <v>2724</v>
      </c>
      <c r="H501" s="405" t="s">
        <v>2725</v>
      </c>
      <c r="I501" s="405" t="s">
        <v>572</v>
      </c>
      <c r="J501" s="380" t="s">
        <v>573</v>
      </c>
      <c r="K501" s="409" t="str">
        <f t="shared" si="13"/>
        <v/>
      </c>
    </row>
    <row r="502" spans="1:11" ht="15.75" customHeight="1">
      <c r="A502" s="445" t="s">
        <v>575</v>
      </c>
      <c r="B502" t="s">
        <v>2726</v>
      </c>
      <c r="C502" s="445" t="s">
        <v>2727</v>
      </c>
      <c r="D502" s="407" t="str">
        <f t="shared" si="12"/>
        <v>ROU Rumänien</v>
      </c>
      <c r="E502" s="405" t="s">
        <v>2728</v>
      </c>
      <c r="F502" s="408" t="s">
        <v>2729</v>
      </c>
      <c r="G502" s="405" t="s">
        <v>2729</v>
      </c>
      <c r="H502" s="405" t="s">
        <v>2730</v>
      </c>
      <c r="I502" s="405" t="s">
        <v>2731</v>
      </c>
      <c r="J502" s="380" t="s">
        <v>575</v>
      </c>
      <c r="K502" s="409" t="str">
        <f t="shared" si="13"/>
        <v/>
      </c>
    </row>
    <row r="503" spans="1:11" ht="15.75" customHeight="1">
      <c r="A503" s="445" t="s">
        <v>577</v>
      </c>
      <c r="B503" t="s">
        <v>2732</v>
      </c>
      <c r="C503" s="445" t="s">
        <v>2733</v>
      </c>
      <c r="D503" s="407" t="str">
        <f t="shared" si="12"/>
        <v>RUS Russische Föderation</v>
      </c>
      <c r="E503" s="405" t="s">
        <v>2734</v>
      </c>
      <c r="F503" s="408" t="s">
        <v>2735</v>
      </c>
      <c r="G503" s="405" t="s">
        <v>2736</v>
      </c>
      <c r="H503" s="405" t="s">
        <v>2737</v>
      </c>
      <c r="I503" s="405" t="s">
        <v>2738</v>
      </c>
      <c r="J503" s="380" t="s">
        <v>577</v>
      </c>
      <c r="K503" s="409" t="str">
        <f t="shared" si="13"/>
        <v/>
      </c>
    </row>
    <row r="504" spans="1:11" ht="15.75" customHeight="1">
      <c r="A504" s="445" t="s">
        <v>579</v>
      </c>
      <c r="B504" t="s">
        <v>2739</v>
      </c>
      <c r="C504" s="445" t="s">
        <v>2740</v>
      </c>
      <c r="D504" s="407" t="str">
        <f t="shared" si="12"/>
        <v>RWA Ruanda</v>
      </c>
      <c r="E504" s="405" t="s">
        <v>2741</v>
      </c>
      <c r="F504" s="408" t="s">
        <v>2742</v>
      </c>
      <c r="G504" s="405" t="s">
        <v>2743</v>
      </c>
      <c r="H504" s="405" t="s">
        <v>2741</v>
      </c>
      <c r="I504" s="405" t="s">
        <v>578</v>
      </c>
      <c r="J504" s="380" t="s">
        <v>579</v>
      </c>
      <c r="K504" s="409" t="str">
        <f t="shared" si="13"/>
        <v/>
      </c>
    </row>
    <row r="505" spans="1:11" ht="15.75" customHeight="1">
      <c r="A505" s="445" t="s">
        <v>581</v>
      </c>
      <c r="B505" t="s">
        <v>2744</v>
      </c>
      <c r="C505" s="445" t="s">
        <v>2745</v>
      </c>
      <c r="D505" s="407" t="str">
        <f t="shared" si="12"/>
        <v>SAU Saudi-Arabien</v>
      </c>
      <c r="E505" s="405" t="s">
        <v>2746</v>
      </c>
      <c r="F505" s="408" t="s">
        <v>2747</v>
      </c>
      <c r="G505" s="405" t="s">
        <v>2748</v>
      </c>
      <c r="H505" s="405" t="s">
        <v>2749</v>
      </c>
      <c r="I505" s="405" t="s">
        <v>2750</v>
      </c>
      <c r="J505" s="380" t="s">
        <v>581</v>
      </c>
      <c r="K505" s="409" t="str">
        <f t="shared" si="13"/>
        <v/>
      </c>
    </row>
    <row r="506" spans="1:11" ht="15.75" customHeight="1">
      <c r="A506" s="445" t="s">
        <v>583</v>
      </c>
      <c r="B506" t="s">
        <v>2751</v>
      </c>
      <c r="C506" s="445" t="s">
        <v>2752</v>
      </c>
      <c r="D506" s="407" t="str">
        <f t="shared" si="12"/>
        <v>SDN Sudan</v>
      </c>
      <c r="E506" s="405" t="s">
        <v>582</v>
      </c>
      <c r="F506" s="408" t="s">
        <v>2753</v>
      </c>
      <c r="G506" s="405" t="s">
        <v>2753</v>
      </c>
      <c r="H506" s="405" t="s">
        <v>2754</v>
      </c>
      <c r="I506" s="405" t="s">
        <v>2755</v>
      </c>
      <c r="J506" s="380" t="s">
        <v>583</v>
      </c>
      <c r="K506" s="409" t="str">
        <f t="shared" si="13"/>
        <v/>
      </c>
    </row>
    <row r="507" spans="1:11" ht="15.75" customHeight="1">
      <c r="A507" s="445" t="s">
        <v>585</v>
      </c>
      <c r="B507" t="s">
        <v>2756</v>
      </c>
      <c r="C507" s="445" t="s">
        <v>2757</v>
      </c>
      <c r="D507" s="407" t="str">
        <f t="shared" si="12"/>
        <v>SEN Senegal</v>
      </c>
      <c r="E507" s="405" t="s">
        <v>584</v>
      </c>
      <c r="F507" s="408" t="s">
        <v>2758</v>
      </c>
      <c r="G507" s="405" t="s">
        <v>2758</v>
      </c>
      <c r="H507" s="405" t="s">
        <v>584</v>
      </c>
      <c r="I507" s="405" t="s">
        <v>2759</v>
      </c>
      <c r="J507" s="380" t="s">
        <v>585</v>
      </c>
      <c r="K507" s="409" t="str">
        <f t="shared" si="13"/>
        <v/>
      </c>
    </row>
    <row r="508" spans="1:11" ht="15.75" customHeight="1">
      <c r="A508" s="445" t="s">
        <v>587</v>
      </c>
      <c r="B508" t="s">
        <v>2760</v>
      </c>
      <c r="C508" s="445" t="s">
        <v>2761</v>
      </c>
      <c r="D508" s="407" t="str">
        <f t="shared" si="12"/>
        <v>SGP Singapur</v>
      </c>
      <c r="E508" s="405" t="s">
        <v>2762</v>
      </c>
      <c r="F508" s="408" t="s">
        <v>2763</v>
      </c>
      <c r="G508" s="405" t="s">
        <v>2763</v>
      </c>
      <c r="H508" s="405" t="s">
        <v>2762</v>
      </c>
      <c r="I508" s="405" t="s">
        <v>2764</v>
      </c>
      <c r="J508" s="380" t="s">
        <v>587</v>
      </c>
      <c r="K508" s="409" t="str">
        <f t="shared" si="13"/>
        <v/>
      </c>
    </row>
    <row r="509" spans="1:11" ht="15.75" customHeight="1">
      <c r="A509" s="445" t="s">
        <v>589</v>
      </c>
      <c r="B509" t="s">
        <v>2765</v>
      </c>
      <c r="C509" s="445" t="s">
        <v>2766</v>
      </c>
      <c r="D509" s="407" t="str">
        <f t="shared" si="12"/>
        <v>SLB Salomonen</v>
      </c>
      <c r="E509" s="405" t="s">
        <v>2767</v>
      </c>
      <c r="F509" s="408" t="s">
        <v>2768</v>
      </c>
      <c r="G509" s="405" t="s">
        <v>2769</v>
      </c>
      <c r="H509" s="405" t="s">
        <v>2770</v>
      </c>
      <c r="I509" s="405" t="s">
        <v>2771</v>
      </c>
      <c r="J509" s="380" t="s">
        <v>589</v>
      </c>
      <c r="K509" s="409" t="str">
        <f t="shared" si="13"/>
        <v/>
      </c>
    </row>
    <row r="510" spans="1:11" ht="15.75" customHeight="1">
      <c r="A510" s="445" t="s">
        <v>591</v>
      </c>
      <c r="B510" t="s">
        <v>2772</v>
      </c>
      <c r="C510" s="445" t="s">
        <v>2773</v>
      </c>
      <c r="D510" s="407" t="str">
        <f t="shared" si="12"/>
        <v>SLE Sierra Leone</v>
      </c>
      <c r="E510" s="405" t="s">
        <v>590</v>
      </c>
      <c r="F510" s="408" t="s">
        <v>2774</v>
      </c>
      <c r="G510" s="405" t="s">
        <v>2774</v>
      </c>
      <c r="H510" s="405" t="s">
        <v>2775</v>
      </c>
      <c r="I510" s="405" t="s">
        <v>590</v>
      </c>
      <c r="J510" s="380" t="s">
        <v>591</v>
      </c>
      <c r="K510" s="409" t="str">
        <f t="shared" si="13"/>
        <v/>
      </c>
    </row>
    <row r="511" spans="1:11" ht="15.75" customHeight="1">
      <c r="A511" s="445" t="s">
        <v>593</v>
      </c>
      <c r="B511" t="s">
        <v>2776</v>
      </c>
      <c r="C511" s="445" t="s">
        <v>2777</v>
      </c>
      <c r="D511" s="407" t="str">
        <f t="shared" si="12"/>
        <v>SLV El Salvador</v>
      </c>
      <c r="E511" s="405" t="s">
        <v>592</v>
      </c>
      <c r="F511" s="408" t="s">
        <v>2778</v>
      </c>
      <c r="G511" s="405" t="s">
        <v>2778</v>
      </c>
      <c r="H511" s="405" t="s">
        <v>592</v>
      </c>
      <c r="I511" s="405" t="s">
        <v>2779</v>
      </c>
      <c r="J511" s="380" t="s">
        <v>593</v>
      </c>
      <c r="K511" s="409" t="str">
        <f t="shared" si="13"/>
        <v/>
      </c>
    </row>
    <row r="512" spans="1:11" ht="15.75" customHeight="1">
      <c r="A512" s="445" t="s">
        <v>595</v>
      </c>
      <c r="B512" t="s">
        <v>2780</v>
      </c>
      <c r="C512" s="445" t="s">
        <v>2781</v>
      </c>
      <c r="D512" s="407" t="str">
        <f t="shared" si="12"/>
        <v>SMR San Marino</v>
      </c>
      <c r="E512" s="405" t="s">
        <v>594</v>
      </c>
      <c r="F512" s="408" t="s">
        <v>2782</v>
      </c>
      <c r="G512" s="405" t="s">
        <v>2782</v>
      </c>
      <c r="H512" s="405" t="s">
        <v>594</v>
      </c>
      <c r="I512" s="405" t="s">
        <v>2783</v>
      </c>
      <c r="J512" s="380" t="s">
        <v>595</v>
      </c>
      <c r="K512" s="409" t="str">
        <f t="shared" si="13"/>
        <v/>
      </c>
    </row>
    <row r="513" spans="1:11" ht="15.75" customHeight="1">
      <c r="A513" s="445" t="s">
        <v>597</v>
      </c>
      <c r="B513" t="s">
        <v>2784</v>
      </c>
      <c r="C513" s="445" t="s">
        <v>2785</v>
      </c>
      <c r="D513" s="407" t="str">
        <f t="shared" si="12"/>
        <v>SOM Somalia</v>
      </c>
      <c r="E513" s="405" t="s">
        <v>596</v>
      </c>
      <c r="F513" s="408" t="s">
        <v>2786</v>
      </c>
      <c r="G513" s="405" t="s">
        <v>2786</v>
      </c>
      <c r="H513" s="405" t="s">
        <v>596</v>
      </c>
      <c r="I513" s="405" t="s">
        <v>2787</v>
      </c>
      <c r="J513" s="380" t="s">
        <v>597</v>
      </c>
      <c r="K513" s="409" t="str">
        <f t="shared" si="13"/>
        <v/>
      </c>
    </row>
    <row r="514" spans="1:11" ht="15.75" customHeight="1">
      <c r="A514" s="445" t="s">
        <v>599</v>
      </c>
      <c r="B514" t="s">
        <v>2788</v>
      </c>
      <c r="C514" s="445" t="s">
        <v>2789</v>
      </c>
      <c r="D514" s="407" t="str">
        <f t="shared" si="12"/>
        <v>SRB Serbien</v>
      </c>
      <c r="E514" s="405" t="s">
        <v>2790</v>
      </c>
      <c r="F514" s="408" t="s">
        <v>2791</v>
      </c>
      <c r="G514" s="405" t="s">
        <v>2791</v>
      </c>
      <c r="H514" s="405" t="s">
        <v>598</v>
      </c>
      <c r="I514" s="405" t="s">
        <v>2792</v>
      </c>
      <c r="J514" s="380" t="s">
        <v>599</v>
      </c>
      <c r="K514" s="409" t="str">
        <f t="shared" si="13"/>
        <v/>
      </c>
    </row>
    <row r="515" spans="1:11" ht="15.75" customHeight="1">
      <c r="A515" s="445" t="s">
        <v>601</v>
      </c>
      <c r="B515"/>
      <c r="C515" s="445" t="s">
        <v>2793</v>
      </c>
      <c r="D515" s="407" t="str">
        <f t="shared" si="12"/>
        <v>SSD Südsudan</v>
      </c>
      <c r="E515" s="405" t="s">
        <v>2794</v>
      </c>
      <c r="F515" s="408" t="s">
        <v>2795</v>
      </c>
      <c r="G515" s="405" t="s">
        <v>2796</v>
      </c>
      <c r="H515" s="405" t="s">
        <v>2797</v>
      </c>
      <c r="I515" s="405" t="s">
        <v>2798</v>
      </c>
      <c r="J515" s="380" t="s">
        <v>601</v>
      </c>
      <c r="K515" s="409" t="str">
        <f t="shared" si="13"/>
        <v/>
      </c>
    </row>
    <row r="516" spans="1:11" ht="15.75" customHeight="1">
      <c r="A516" s="445" t="s">
        <v>603</v>
      </c>
      <c r="B516" t="s">
        <v>2799</v>
      </c>
      <c r="C516" s="445" t="s">
        <v>2800</v>
      </c>
      <c r="D516" s="407" t="str">
        <f t="shared" si="12"/>
        <v>STP São Tomé und Príncipe</v>
      </c>
      <c r="E516" s="405" t="s">
        <v>2801</v>
      </c>
      <c r="F516" s="408" t="s">
        <v>2802</v>
      </c>
      <c r="G516" s="405" t="s">
        <v>2803</v>
      </c>
      <c r="H516" s="405" t="s">
        <v>2804</v>
      </c>
      <c r="I516" s="405" t="s">
        <v>2805</v>
      </c>
      <c r="J516" s="380" t="s">
        <v>603</v>
      </c>
      <c r="K516" s="409" t="str">
        <f t="shared" si="13"/>
        <v/>
      </c>
    </row>
    <row r="517" spans="1:11" ht="15.75" customHeight="1">
      <c r="A517" s="445" t="s">
        <v>605</v>
      </c>
      <c r="B517" t="s">
        <v>2806</v>
      </c>
      <c r="C517" s="445" t="s">
        <v>2807</v>
      </c>
      <c r="D517" s="407" t="str">
        <f t="shared" si="12"/>
        <v>SUR Suriname</v>
      </c>
      <c r="E517" s="405" t="s">
        <v>604</v>
      </c>
      <c r="F517" s="408" t="s">
        <v>2808</v>
      </c>
      <c r="G517" s="405" t="s">
        <v>2808</v>
      </c>
      <c r="H517" s="405" t="s">
        <v>2809</v>
      </c>
      <c r="I517" s="405" t="s">
        <v>2809</v>
      </c>
      <c r="J517" s="380" t="s">
        <v>605</v>
      </c>
      <c r="K517" s="409" t="str">
        <f t="shared" si="13"/>
        <v/>
      </c>
    </row>
    <row r="518" spans="1:11" ht="15.75" customHeight="1">
      <c r="A518" s="445" t="s">
        <v>607</v>
      </c>
      <c r="B518" t="s">
        <v>2810</v>
      </c>
      <c r="C518" s="445" t="s">
        <v>2811</v>
      </c>
      <c r="D518" s="407" t="str">
        <f t="shared" si="12"/>
        <v>SVK Slowakei</v>
      </c>
      <c r="E518" s="405" t="s">
        <v>2812</v>
      </c>
      <c r="F518" s="408" t="s">
        <v>2813</v>
      </c>
      <c r="G518" s="405" t="s">
        <v>2814</v>
      </c>
      <c r="H518" s="405" t="s">
        <v>2815</v>
      </c>
      <c r="I518" s="405" t="s">
        <v>2816</v>
      </c>
      <c r="J518" s="380" t="s">
        <v>607</v>
      </c>
      <c r="K518" s="409" t="str">
        <f t="shared" si="13"/>
        <v/>
      </c>
    </row>
    <row r="519" spans="1:11" ht="15.75" customHeight="1">
      <c r="A519" s="445" t="s">
        <v>609</v>
      </c>
      <c r="B519" t="s">
        <v>2817</v>
      </c>
      <c r="C519" s="445" t="s">
        <v>2818</v>
      </c>
      <c r="D519" s="407" t="str">
        <f t="shared" si="12"/>
        <v>SVN Slowenien</v>
      </c>
      <c r="E519" s="405" t="s">
        <v>2819</v>
      </c>
      <c r="F519" s="408" t="s">
        <v>2820</v>
      </c>
      <c r="G519" s="405" t="s">
        <v>2820</v>
      </c>
      <c r="H519" s="405" t="s">
        <v>2821</v>
      </c>
      <c r="I519" s="405" t="s">
        <v>2822</v>
      </c>
      <c r="J519" s="380" t="s">
        <v>609</v>
      </c>
      <c r="K519" s="409" t="str">
        <f t="shared" si="13"/>
        <v/>
      </c>
    </row>
    <row r="520" spans="1:11" ht="15.75" customHeight="1">
      <c r="A520" s="445" t="s">
        <v>611</v>
      </c>
      <c r="B520" t="s">
        <v>2823</v>
      </c>
      <c r="C520" s="445" t="s">
        <v>2824</v>
      </c>
      <c r="D520" s="407" t="str">
        <f t="shared" si="12"/>
        <v>SWE Schweden</v>
      </c>
      <c r="E520" s="405" t="s">
        <v>2825</v>
      </c>
      <c r="F520" s="408" t="s">
        <v>2826</v>
      </c>
      <c r="G520" s="405" t="s">
        <v>2827</v>
      </c>
      <c r="H520" s="405" t="s">
        <v>2828</v>
      </c>
      <c r="I520" s="405" t="s">
        <v>2829</v>
      </c>
      <c r="J520" s="380" t="s">
        <v>611</v>
      </c>
      <c r="K520" s="409" t="str">
        <f t="shared" si="13"/>
        <v/>
      </c>
    </row>
    <row r="521" spans="1:11" ht="15.75" customHeight="1">
      <c r="A521" s="445" t="s">
        <v>613</v>
      </c>
      <c r="B521" t="s">
        <v>2830</v>
      </c>
      <c r="C521" s="445" t="s">
        <v>2831</v>
      </c>
      <c r="D521" s="407" t="str">
        <f t="shared" si="12"/>
        <v>SWZ Swasiland</v>
      </c>
      <c r="E521" s="405" t="s">
        <v>2832</v>
      </c>
      <c r="F521" s="408" t="s">
        <v>2833</v>
      </c>
      <c r="G521" s="405" t="s">
        <v>2833</v>
      </c>
      <c r="H521" s="405" t="s">
        <v>2834</v>
      </c>
      <c r="I521" s="405" t="s">
        <v>612</v>
      </c>
      <c r="J521" s="380" t="s">
        <v>613</v>
      </c>
      <c r="K521" s="409" t="str">
        <f t="shared" si="13"/>
        <v/>
      </c>
    </row>
    <row r="522" spans="1:11" ht="15.75" customHeight="1">
      <c r="A522" s="445" t="s">
        <v>615</v>
      </c>
      <c r="B522" t="s">
        <v>2835</v>
      </c>
      <c r="C522" s="445" t="s">
        <v>2836</v>
      </c>
      <c r="D522" s="407" t="str">
        <f t="shared" si="12"/>
        <v>SXM Sint Maarten (niederl. Teil)</v>
      </c>
      <c r="E522" s="405" t="s">
        <v>2837</v>
      </c>
      <c r="F522" s="408" t="s">
        <v>2838</v>
      </c>
      <c r="G522" s="405" t="s">
        <v>2839</v>
      </c>
      <c r="H522" s="405" t="s">
        <v>2840</v>
      </c>
      <c r="I522" s="405" t="s">
        <v>2490</v>
      </c>
      <c r="J522" s="380" t="s">
        <v>615</v>
      </c>
      <c r="K522" s="409" t="str">
        <f t="shared" si="13"/>
        <v/>
      </c>
    </row>
    <row r="523" spans="1:11" ht="15.75" customHeight="1">
      <c r="A523" s="445" t="s">
        <v>617</v>
      </c>
      <c r="B523" t="s">
        <v>2841</v>
      </c>
      <c r="C523" s="445" t="s">
        <v>2842</v>
      </c>
      <c r="D523" s="407" t="str">
        <f t="shared" si="12"/>
        <v>SYC Seychellen</v>
      </c>
      <c r="E523" s="405" t="s">
        <v>2843</v>
      </c>
      <c r="F523" s="408" t="s">
        <v>2844</v>
      </c>
      <c r="G523" s="405" t="s">
        <v>2844</v>
      </c>
      <c r="H523" s="405" t="s">
        <v>616</v>
      </c>
      <c r="I523" s="405" t="s">
        <v>616</v>
      </c>
      <c r="J523" s="380" t="s">
        <v>617</v>
      </c>
      <c r="K523" s="409" t="str">
        <f t="shared" si="13"/>
        <v/>
      </c>
    </row>
    <row r="524" spans="1:11" ht="15.75" customHeight="1">
      <c r="A524" s="445" t="s">
        <v>619</v>
      </c>
      <c r="B524" t="s">
        <v>2845</v>
      </c>
      <c r="C524" s="445" t="s">
        <v>2846</v>
      </c>
      <c r="D524" s="407" t="str">
        <f t="shared" si="12"/>
        <v>SYR Syrien, Arabische Republik</v>
      </c>
      <c r="E524" s="405" t="s">
        <v>2847</v>
      </c>
      <c r="F524" s="408" t="s">
        <v>2848</v>
      </c>
      <c r="G524" s="405" t="s">
        <v>2849</v>
      </c>
      <c r="H524" s="405" t="s">
        <v>2850</v>
      </c>
      <c r="I524" s="405" t="s">
        <v>2851</v>
      </c>
      <c r="J524" s="380" t="s">
        <v>619</v>
      </c>
      <c r="K524" s="409" t="str">
        <f t="shared" si="13"/>
        <v/>
      </c>
    </row>
    <row r="525" spans="1:11" ht="15.75" customHeight="1">
      <c r="A525" s="445" t="s">
        <v>621</v>
      </c>
      <c r="B525" t="s">
        <v>2852</v>
      </c>
      <c r="C525" s="445" t="s">
        <v>2853</v>
      </c>
      <c r="D525" s="407" t="str">
        <f t="shared" si="12"/>
        <v>TCA Turks- und Caicosinseln</v>
      </c>
      <c r="E525" s="405" t="s">
        <v>2854</v>
      </c>
      <c r="F525" s="408" t="s">
        <v>2855</v>
      </c>
      <c r="G525" s="405" t="s">
        <v>2856</v>
      </c>
      <c r="H525" s="405" t="s">
        <v>2857</v>
      </c>
      <c r="I525" s="405" t="s">
        <v>2858</v>
      </c>
      <c r="J525" s="380" t="s">
        <v>621</v>
      </c>
      <c r="K525" s="409" t="str">
        <f t="shared" si="13"/>
        <v/>
      </c>
    </row>
    <row r="526" spans="1:11" ht="15.75" customHeight="1">
      <c r="A526" s="445" t="s">
        <v>623</v>
      </c>
      <c r="B526" t="s">
        <v>2859</v>
      </c>
      <c r="C526" s="445" t="s">
        <v>2860</v>
      </c>
      <c r="D526" s="407" t="str">
        <f t="shared" si="12"/>
        <v>TCD Tschad</v>
      </c>
      <c r="E526" s="405" t="s">
        <v>2861</v>
      </c>
      <c r="F526" s="408" t="s">
        <v>2862</v>
      </c>
      <c r="G526" s="405" t="s">
        <v>2863</v>
      </c>
      <c r="H526" s="405" t="s">
        <v>622</v>
      </c>
      <c r="I526" s="405" t="s">
        <v>2864</v>
      </c>
      <c r="J526" s="380" t="s">
        <v>623</v>
      </c>
      <c r="K526" s="409" t="str">
        <f t="shared" si="13"/>
        <v/>
      </c>
    </row>
    <row r="527" spans="1:11" ht="15.75" customHeight="1">
      <c r="A527" s="445" t="s">
        <v>625</v>
      </c>
      <c r="B527" t="s">
        <v>2865</v>
      </c>
      <c r="C527" s="445" t="s">
        <v>2866</v>
      </c>
      <c r="D527" s="407" t="str">
        <f t="shared" si="12"/>
        <v>TGO Togo</v>
      </c>
      <c r="E527" s="405" t="s">
        <v>624</v>
      </c>
      <c r="F527" s="408" t="s">
        <v>2867</v>
      </c>
      <c r="G527" s="405" t="s">
        <v>2867</v>
      </c>
      <c r="H527" s="405" t="s">
        <v>624</v>
      </c>
      <c r="I527" s="405" t="s">
        <v>624</v>
      </c>
      <c r="J527" s="380" t="s">
        <v>625</v>
      </c>
      <c r="K527" s="409" t="str">
        <f t="shared" si="13"/>
        <v/>
      </c>
    </row>
    <row r="528" spans="1:11" ht="15.75" customHeight="1">
      <c r="A528" s="445" t="s">
        <v>627</v>
      </c>
      <c r="B528" t="s">
        <v>2868</v>
      </c>
      <c r="C528" s="445" t="s">
        <v>2869</v>
      </c>
      <c r="D528" s="407" t="str">
        <f t="shared" si="12"/>
        <v>THA Thailand</v>
      </c>
      <c r="E528" s="405" t="s">
        <v>626</v>
      </c>
      <c r="F528" s="408" t="s">
        <v>2870</v>
      </c>
      <c r="G528" s="405" t="s">
        <v>2871</v>
      </c>
      <c r="H528" s="405" t="s">
        <v>2872</v>
      </c>
      <c r="I528" s="405" t="s">
        <v>2873</v>
      </c>
      <c r="J528" s="380" t="s">
        <v>627</v>
      </c>
      <c r="K528" s="409" t="str">
        <f t="shared" si="13"/>
        <v/>
      </c>
    </row>
    <row r="529" spans="1:11" ht="15.75" customHeight="1">
      <c r="A529" s="445" t="s">
        <v>629</v>
      </c>
      <c r="B529" t="s">
        <v>2874</v>
      </c>
      <c r="C529" s="445" t="s">
        <v>2875</v>
      </c>
      <c r="D529" s="407" t="str">
        <f t="shared" si="12"/>
        <v>TJK Tadschikistan</v>
      </c>
      <c r="E529" s="405" t="s">
        <v>2876</v>
      </c>
      <c r="F529" s="408" t="s">
        <v>2877</v>
      </c>
      <c r="G529" s="405" t="s">
        <v>2878</v>
      </c>
      <c r="H529" s="405" t="s">
        <v>2879</v>
      </c>
      <c r="I529" s="405" t="s">
        <v>628</v>
      </c>
      <c r="J529" s="380" t="s">
        <v>629</v>
      </c>
      <c r="K529" s="409" t="str">
        <f t="shared" si="13"/>
        <v/>
      </c>
    </row>
    <row r="530" spans="1:11" ht="15.75" customHeight="1">
      <c r="A530" s="445" t="s">
        <v>631</v>
      </c>
      <c r="B530" t="s">
        <v>2880</v>
      </c>
      <c r="C530" s="445" t="s">
        <v>2881</v>
      </c>
      <c r="D530" s="407" t="str">
        <f t="shared" si="12"/>
        <v>TKM Turkmenistan</v>
      </c>
      <c r="E530" s="405" t="s">
        <v>630</v>
      </c>
      <c r="F530" s="408" t="s">
        <v>2882</v>
      </c>
      <c r="G530" s="405" t="s">
        <v>2882</v>
      </c>
      <c r="H530" s="405" t="s">
        <v>2883</v>
      </c>
      <c r="I530" s="405" t="s">
        <v>2884</v>
      </c>
      <c r="J530" s="380" t="s">
        <v>631</v>
      </c>
      <c r="K530" s="409" t="str">
        <f t="shared" si="13"/>
        <v/>
      </c>
    </row>
    <row r="531" spans="1:11" ht="15.75" customHeight="1">
      <c r="A531" s="445" t="s">
        <v>633</v>
      </c>
      <c r="B531" t="s">
        <v>2885</v>
      </c>
      <c r="C531" s="445" t="s">
        <v>2886</v>
      </c>
      <c r="D531" s="407" t="str">
        <f t="shared" ref="D531:D554" si="14">A531&amp;" "&amp;HLOOKUP($C$1,$E$1:$V$4910,ROW(D531))</f>
        <v>TLS Osttimor (Timor-Leste)</v>
      </c>
      <c r="E531" s="405" t="s">
        <v>2887</v>
      </c>
      <c r="F531" s="408" t="s">
        <v>2888</v>
      </c>
      <c r="G531" s="405" t="s">
        <v>2889</v>
      </c>
      <c r="H531" s="405" t="s">
        <v>2890</v>
      </c>
      <c r="I531" s="405" t="s">
        <v>2891</v>
      </c>
      <c r="J531" s="380" t="s">
        <v>633</v>
      </c>
      <c r="K531" s="409" t="str">
        <f t="shared" ref="K531:K561" si="15">IF(J531=A531,"","nix")</f>
        <v/>
      </c>
    </row>
    <row r="532" spans="1:11" ht="15.75" customHeight="1">
      <c r="A532" s="445" t="s">
        <v>635</v>
      </c>
      <c r="B532" t="s">
        <v>2892</v>
      </c>
      <c r="C532" s="445" t="s">
        <v>2893</v>
      </c>
      <c r="D532" s="407" t="str">
        <f t="shared" si="14"/>
        <v>TON Tonga</v>
      </c>
      <c r="E532" s="405" t="s">
        <v>634</v>
      </c>
      <c r="F532" s="408" t="s">
        <v>2894</v>
      </c>
      <c r="G532" s="405" t="s">
        <v>2894</v>
      </c>
      <c r="H532" s="405" t="s">
        <v>634</v>
      </c>
      <c r="I532" s="405" t="s">
        <v>634</v>
      </c>
      <c r="J532" s="380" t="s">
        <v>635</v>
      </c>
      <c r="K532" s="409" t="str">
        <f t="shared" si="15"/>
        <v/>
      </c>
    </row>
    <row r="533" spans="1:11" ht="15.75" customHeight="1">
      <c r="A533" s="445" t="s">
        <v>637</v>
      </c>
      <c r="B533" t="s">
        <v>2895</v>
      </c>
      <c r="C533" s="445" t="s">
        <v>2896</v>
      </c>
      <c r="D533" s="407" t="str">
        <f t="shared" si="14"/>
        <v>TTO Trinidad und Tobago</v>
      </c>
      <c r="E533" s="405" t="s">
        <v>2897</v>
      </c>
      <c r="F533" s="408" t="s">
        <v>2898</v>
      </c>
      <c r="G533" s="405" t="s">
        <v>2899</v>
      </c>
      <c r="H533" s="405" t="s">
        <v>2900</v>
      </c>
      <c r="I533" s="405" t="s">
        <v>2901</v>
      </c>
      <c r="J533" s="380" t="s">
        <v>637</v>
      </c>
      <c r="K533" s="409" t="str">
        <f t="shared" si="15"/>
        <v/>
      </c>
    </row>
    <row r="534" spans="1:11" ht="15.75" customHeight="1">
      <c r="A534" s="445" t="s">
        <v>639</v>
      </c>
      <c r="B534" t="s">
        <v>2902</v>
      </c>
      <c r="C534" s="445" t="s">
        <v>2903</v>
      </c>
      <c r="D534" s="407" t="str">
        <f t="shared" si="14"/>
        <v>TUN Tunesien</v>
      </c>
      <c r="E534" s="405" t="s">
        <v>2904</v>
      </c>
      <c r="F534" s="408" t="s">
        <v>2905</v>
      </c>
      <c r="G534" s="405" t="s">
        <v>2905</v>
      </c>
      <c r="H534" s="405" t="s">
        <v>2906</v>
      </c>
      <c r="I534" s="405" t="s">
        <v>2907</v>
      </c>
      <c r="J534" s="380" t="s">
        <v>639</v>
      </c>
      <c r="K534" s="409" t="str">
        <f t="shared" si="15"/>
        <v/>
      </c>
    </row>
    <row r="535" spans="1:11" ht="15.75" customHeight="1">
      <c r="A535" s="445" t="s">
        <v>641</v>
      </c>
      <c r="B535" t="s">
        <v>2908</v>
      </c>
      <c r="C535" s="445" t="s">
        <v>2909</v>
      </c>
      <c r="D535" s="407" t="str">
        <f t="shared" si="14"/>
        <v>TUR Türkei</v>
      </c>
      <c r="E535" s="405" t="s">
        <v>2910</v>
      </c>
      <c r="F535" s="408" t="s">
        <v>2911</v>
      </c>
      <c r="G535" s="405" t="s">
        <v>2912</v>
      </c>
      <c r="H535" s="405" t="s">
        <v>2913</v>
      </c>
      <c r="I535" s="405" t="s">
        <v>2914</v>
      </c>
      <c r="J535" s="380" t="s">
        <v>641</v>
      </c>
      <c r="K535" s="409" t="str">
        <f t="shared" si="15"/>
        <v/>
      </c>
    </row>
    <row r="536" spans="1:11" ht="15.75" customHeight="1">
      <c r="A536" s="445" t="s">
        <v>643</v>
      </c>
      <c r="B536" t="s">
        <v>2915</v>
      </c>
      <c r="C536" s="445" t="s">
        <v>2916</v>
      </c>
      <c r="D536" s="407" t="str">
        <f t="shared" si="14"/>
        <v>TUV Tuvalu</v>
      </c>
      <c r="E536" s="405" t="s">
        <v>642</v>
      </c>
      <c r="F536" s="408" t="s">
        <v>2917</v>
      </c>
      <c r="G536" s="405" t="s">
        <v>2917</v>
      </c>
      <c r="H536" s="405" t="s">
        <v>642</v>
      </c>
      <c r="I536" s="405" t="s">
        <v>642</v>
      </c>
      <c r="J536" s="380" t="s">
        <v>643</v>
      </c>
      <c r="K536" s="409" t="str">
        <f t="shared" si="15"/>
        <v/>
      </c>
    </row>
    <row r="537" spans="1:11" ht="15.75" customHeight="1">
      <c r="A537" s="445" t="s">
        <v>645</v>
      </c>
      <c r="B537" t="s">
        <v>2918</v>
      </c>
      <c r="C537" s="445" t="s">
        <v>2919</v>
      </c>
      <c r="D537" s="407" t="str">
        <f t="shared" si="14"/>
        <v>TZA Tansania, Vereinigte Republik</v>
      </c>
      <c r="E537" s="405" t="s">
        <v>2920</v>
      </c>
      <c r="F537" s="408" t="s">
        <v>2921</v>
      </c>
      <c r="G537" s="405" t="s">
        <v>2922</v>
      </c>
      <c r="H537" s="405" t="s">
        <v>644</v>
      </c>
      <c r="I537" s="405" t="s">
        <v>2923</v>
      </c>
      <c r="J537" s="380" t="s">
        <v>645</v>
      </c>
      <c r="K537" s="409" t="str">
        <f t="shared" si="15"/>
        <v/>
      </c>
    </row>
    <row r="538" spans="1:11" ht="15.75" customHeight="1">
      <c r="A538" s="445" t="s">
        <v>647</v>
      </c>
      <c r="B538" t="s">
        <v>2924</v>
      </c>
      <c r="C538" s="445" t="s">
        <v>2925</v>
      </c>
      <c r="D538" s="407" t="str">
        <f t="shared" si="14"/>
        <v>UGA Uganda</v>
      </c>
      <c r="E538" s="405" t="s">
        <v>646</v>
      </c>
      <c r="F538" s="408" t="s">
        <v>2926</v>
      </c>
      <c r="G538" s="405" t="s">
        <v>2926</v>
      </c>
      <c r="H538" s="405" t="s">
        <v>646</v>
      </c>
      <c r="I538" s="405" t="s">
        <v>2927</v>
      </c>
      <c r="J538" s="380" t="s">
        <v>647</v>
      </c>
      <c r="K538" s="409" t="str">
        <f t="shared" si="15"/>
        <v/>
      </c>
    </row>
    <row r="539" spans="1:11" ht="15.75" customHeight="1">
      <c r="A539" s="445" t="s">
        <v>649</v>
      </c>
      <c r="B539" t="s">
        <v>2928</v>
      </c>
      <c r="C539" s="445" t="s">
        <v>2929</v>
      </c>
      <c r="D539" s="407" t="str">
        <f t="shared" si="14"/>
        <v>UKR Ukraine</v>
      </c>
      <c r="E539" s="405" t="s">
        <v>648</v>
      </c>
      <c r="F539" s="408" t="s">
        <v>2930</v>
      </c>
      <c r="G539" s="405" t="s">
        <v>2931</v>
      </c>
      <c r="H539" s="405" t="s">
        <v>2932</v>
      </c>
      <c r="I539" s="405" t="s">
        <v>648</v>
      </c>
      <c r="J539" s="380" t="s">
        <v>649</v>
      </c>
      <c r="K539" s="409" t="str">
        <f t="shared" si="15"/>
        <v/>
      </c>
    </row>
    <row r="540" spans="1:11" ht="15.75" customHeight="1">
      <c r="A540" s="445" t="s">
        <v>651</v>
      </c>
      <c r="B540" t="s">
        <v>2933</v>
      </c>
      <c r="C540" s="445" t="s">
        <v>2934</v>
      </c>
      <c r="D540" s="407" t="str">
        <f t="shared" si="14"/>
        <v>URY Uruguay</v>
      </c>
      <c r="E540" s="405" t="s">
        <v>650</v>
      </c>
      <c r="F540" s="408" t="s">
        <v>2935</v>
      </c>
      <c r="G540" s="405" t="s">
        <v>2935</v>
      </c>
      <c r="H540" s="405" t="s">
        <v>650</v>
      </c>
      <c r="I540" s="405" t="s">
        <v>650</v>
      </c>
      <c r="J540" s="380" t="s">
        <v>651</v>
      </c>
      <c r="K540" s="409" t="str">
        <f t="shared" si="15"/>
        <v/>
      </c>
    </row>
    <row r="541" spans="1:11" ht="15.75" customHeight="1">
      <c r="A541" s="445" t="s">
        <v>653</v>
      </c>
      <c r="B541" t="s">
        <v>2936</v>
      </c>
      <c r="C541" s="445" t="s">
        <v>2937</v>
      </c>
      <c r="D541" s="407" t="str">
        <f t="shared" si="14"/>
        <v>USA Vereinigte Staaten von Amerika</v>
      </c>
      <c r="E541" s="405" t="s">
        <v>2938</v>
      </c>
      <c r="F541" s="408" t="s">
        <v>2939</v>
      </c>
      <c r="G541" s="405" t="s">
        <v>2940</v>
      </c>
      <c r="H541" s="405" t="s">
        <v>2941</v>
      </c>
      <c r="I541" s="405" t="s">
        <v>2942</v>
      </c>
      <c r="J541" s="380" t="s">
        <v>653</v>
      </c>
      <c r="K541" s="409" t="str">
        <f t="shared" si="15"/>
        <v/>
      </c>
    </row>
    <row r="542" spans="1:11" ht="15.75" customHeight="1">
      <c r="A542" s="445" t="s">
        <v>655</v>
      </c>
      <c r="B542" t="s">
        <v>2943</v>
      </c>
      <c r="C542" s="445" t="s">
        <v>2944</v>
      </c>
      <c r="D542" s="407" t="str">
        <f t="shared" si="14"/>
        <v>UZB Usbekistan</v>
      </c>
      <c r="E542" s="405" t="s">
        <v>2945</v>
      </c>
      <c r="F542" s="408" t="s">
        <v>2946</v>
      </c>
      <c r="G542" s="405" t="s">
        <v>2946</v>
      </c>
      <c r="H542" s="405" t="s">
        <v>2947</v>
      </c>
      <c r="I542" s="405" t="s">
        <v>2948</v>
      </c>
      <c r="J542" s="380" t="s">
        <v>655</v>
      </c>
      <c r="K542" s="409" t="str">
        <f t="shared" si="15"/>
        <v/>
      </c>
    </row>
    <row r="543" spans="1:11" ht="15.75" customHeight="1">
      <c r="A543" s="445" t="s">
        <v>657</v>
      </c>
      <c r="B543" t="s">
        <v>2949</v>
      </c>
      <c r="C543" s="445" t="s">
        <v>2950</v>
      </c>
      <c r="D543" s="407" t="str">
        <f t="shared" si="14"/>
        <v>VCT St. Vincent und die Grenadinen</v>
      </c>
      <c r="E543" s="405" t="s">
        <v>2951</v>
      </c>
      <c r="F543" s="408" t="s">
        <v>2952</v>
      </c>
      <c r="G543" s="405" t="s">
        <v>2953</v>
      </c>
      <c r="H543" s="405" t="s">
        <v>2954</v>
      </c>
      <c r="I543" s="405" t="s">
        <v>2955</v>
      </c>
      <c r="J543" s="380" t="s">
        <v>657</v>
      </c>
      <c r="K543" s="409" t="str">
        <f t="shared" si="15"/>
        <v/>
      </c>
    </row>
    <row r="544" spans="1:11" ht="15.75" customHeight="1">
      <c r="A544" s="445" t="s">
        <v>659</v>
      </c>
      <c r="B544" t="s">
        <v>2956</v>
      </c>
      <c r="C544" s="445" t="s">
        <v>2957</v>
      </c>
      <c r="D544" s="407" t="str">
        <f t="shared" si="14"/>
        <v>VEN Venezuela</v>
      </c>
      <c r="E544" s="405" t="s">
        <v>2958</v>
      </c>
      <c r="F544" s="408" t="s">
        <v>2959</v>
      </c>
      <c r="G544" s="405" t="s">
        <v>2960</v>
      </c>
      <c r="H544" s="405" t="s">
        <v>2958</v>
      </c>
      <c r="I544" s="405" t="s">
        <v>2961</v>
      </c>
      <c r="J544" s="380" t="s">
        <v>659</v>
      </c>
      <c r="K544" s="409" t="str">
        <f t="shared" si="15"/>
        <v/>
      </c>
    </row>
    <row r="545" spans="1:11" ht="15.75" customHeight="1">
      <c r="A545" s="445" t="s">
        <v>661</v>
      </c>
      <c r="B545" t="s">
        <v>2962</v>
      </c>
      <c r="C545" s="445" t="s">
        <v>2963</v>
      </c>
      <c r="D545" s="407" t="str">
        <f t="shared" si="14"/>
        <v>VGB Britische Jungferninseln</v>
      </c>
      <c r="E545" s="405" t="s">
        <v>2964</v>
      </c>
      <c r="F545" s="408" t="s">
        <v>2965</v>
      </c>
      <c r="G545" s="405" t="s">
        <v>2966</v>
      </c>
      <c r="H545" s="405" t="s">
        <v>2967</v>
      </c>
      <c r="I545" s="405" t="s">
        <v>2968</v>
      </c>
      <c r="J545" s="380" t="s">
        <v>661</v>
      </c>
      <c r="K545" s="409" t="str">
        <f t="shared" si="15"/>
        <v/>
      </c>
    </row>
    <row r="546" spans="1:11" ht="15.75" customHeight="1">
      <c r="A546" s="445" t="s">
        <v>663</v>
      </c>
      <c r="B546" t="s">
        <v>2969</v>
      </c>
      <c r="C546" s="445" t="s">
        <v>2970</v>
      </c>
      <c r="D546" s="407" t="str">
        <f t="shared" si="14"/>
        <v>VIR Amerikanische Jungferninseln</v>
      </c>
      <c r="E546" s="405" t="s">
        <v>2971</v>
      </c>
      <c r="F546" s="408" t="s">
        <v>2972</v>
      </c>
      <c r="G546" s="405" t="s">
        <v>2973</v>
      </c>
      <c r="H546" s="405" t="s">
        <v>2974</v>
      </c>
      <c r="I546" s="405" t="s">
        <v>2975</v>
      </c>
      <c r="J546" s="380" t="s">
        <v>663</v>
      </c>
      <c r="K546" s="409" t="str">
        <f t="shared" si="15"/>
        <v/>
      </c>
    </row>
    <row r="547" spans="1:11" ht="15.75" customHeight="1">
      <c r="A547" s="445" t="s">
        <v>665</v>
      </c>
      <c r="B547" t="s">
        <v>2976</v>
      </c>
      <c r="C547" s="445" t="s">
        <v>2977</v>
      </c>
      <c r="D547" s="407" t="str">
        <f t="shared" si="14"/>
        <v>VNM Vietnam</v>
      </c>
      <c r="E547" s="405" t="s">
        <v>664</v>
      </c>
      <c r="F547" s="408" t="s">
        <v>2978</v>
      </c>
      <c r="G547" s="405" t="s">
        <v>2979</v>
      </c>
      <c r="H547" s="405" t="s">
        <v>664</v>
      </c>
      <c r="I547" s="405" t="s">
        <v>664</v>
      </c>
      <c r="J547" s="380" t="s">
        <v>665</v>
      </c>
      <c r="K547" s="409" t="str">
        <f t="shared" si="15"/>
        <v/>
      </c>
    </row>
    <row r="548" spans="1:11" ht="15.75" customHeight="1">
      <c r="A548" s="445" t="s">
        <v>667</v>
      </c>
      <c r="B548" t="s">
        <v>2980</v>
      </c>
      <c r="C548" s="445" t="s">
        <v>2981</v>
      </c>
      <c r="D548" s="407" t="str">
        <f t="shared" si="14"/>
        <v>VUT Vanuatu</v>
      </c>
      <c r="E548" s="405" t="s">
        <v>666</v>
      </c>
      <c r="F548" s="408" t="s">
        <v>2982</v>
      </c>
      <c r="G548" s="405" t="s">
        <v>2982</v>
      </c>
      <c r="H548" s="405" t="s">
        <v>666</v>
      </c>
      <c r="I548" s="405" t="s">
        <v>666</v>
      </c>
      <c r="J548" s="380" t="s">
        <v>667</v>
      </c>
      <c r="K548" s="409" t="str">
        <f t="shared" si="15"/>
        <v/>
      </c>
    </row>
    <row r="549" spans="1:11" ht="15.75" customHeight="1">
      <c r="A549" s="445" t="s">
        <v>669</v>
      </c>
      <c r="B549" t="s">
        <v>2983</v>
      </c>
      <c r="C549" s="445" t="s">
        <v>2984</v>
      </c>
      <c r="D549" s="407" t="str">
        <f t="shared" si="14"/>
        <v>WSM Samoa</v>
      </c>
      <c r="E549" s="405" t="s">
        <v>668</v>
      </c>
      <c r="F549" s="408" t="s">
        <v>2985</v>
      </c>
      <c r="G549" s="405" t="s">
        <v>2985</v>
      </c>
      <c r="H549" s="405" t="s">
        <v>668</v>
      </c>
      <c r="I549" s="405" t="s">
        <v>668</v>
      </c>
      <c r="J549" s="380" t="s">
        <v>669</v>
      </c>
      <c r="K549" s="409" t="str">
        <f t="shared" si="15"/>
        <v/>
      </c>
    </row>
    <row r="550" spans="1:11" ht="15.75" customHeight="1">
      <c r="A550" t="s">
        <v>671</v>
      </c>
      <c r="B550"/>
      <c r="C550" t="s">
        <v>2986</v>
      </c>
      <c r="D550" s="407" t="str">
        <f t="shared" si="14"/>
        <v>XKX Kosovo</v>
      </c>
      <c r="E550" s="405" t="s">
        <v>670</v>
      </c>
      <c r="F550" s="408" t="s">
        <v>670</v>
      </c>
      <c r="G550" s="405" t="s">
        <v>670</v>
      </c>
      <c r="H550" s="405" t="s">
        <v>670</v>
      </c>
      <c r="I550" s="405" t="s">
        <v>670</v>
      </c>
      <c r="J550" s="380" t="s">
        <v>671</v>
      </c>
      <c r="K550" s="409" t="str">
        <f t="shared" si="15"/>
        <v/>
      </c>
    </row>
    <row r="551" spans="1:11" ht="15.75" customHeight="1">
      <c r="A551" s="445" t="s">
        <v>673</v>
      </c>
      <c r="B551" t="s">
        <v>2987</v>
      </c>
      <c r="C551" s="445" t="s">
        <v>2988</v>
      </c>
      <c r="D551" s="407" t="str">
        <f t="shared" si="14"/>
        <v>YEM Jemen</v>
      </c>
      <c r="E551" s="405" t="s">
        <v>2989</v>
      </c>
      <c r="F551" s="408" t="s">
        <v>2990</v>
      </c>
      <c r="G551" s="405" t="s">
        <v>2990</v>
      </c>
      <c r="H551" s="405" t="s">
        <v>2991</v>
      </c>
      <c r="I551" s="405" t="s">
        <v>2991</v>
      </c>
      <c r="J551" s="380" t="s">
        <v>673</v>
      </c>
      <c r="K551" s="409" t="str">
        <f t="shared" si="15"/>
        <v/>
      </c>
    </row>
    <row r="552" spans="1:11" ht="15.75" customHeight="1">
      <c r="A552" s="445" t="s">
        <v>675</v>
      </c>
      <c r="B552" t="s">
        <v>2992</v>
      </c>
      <c r="C552" s="445" t="s">
        <v>2993</v>
      </c>
      <c r="D552" s="407" t="str">
        <f t="shared" si="14"/>
        <v>ZAF Südafrika</v>
      </c>
      <c r="E552" s="405" t="s">
        <v>2994</v>
      </c>
      <c r="F552" s="408" t="s">
        <v>2995</v>
      </c>
      <c r="G552" s="405" t="s">
        <v>2996</v>
      </c>
      <c r="H552" s="405" t="s">
        <v>2997</v>
      </c>
      <c r="I552" s="405" t="s">
        <v>2998</v>
      </c>
      <c r="J552" s="380" t="s">
        <v>675</v>
      </c>
      <c r="K552" s="409" t="str">
        <f t="shared" si="15"/>
        <v/>
      </c>
    </row>
    <row r="553" spans="1:11" ht="15.75" customHeight="1">
      <c r="A553" s="445" t="s">
        <v>677</v>
      </c>
      <c r="B553" t="s">
        <v>2999</v>
      </c>
      <c r="C553" s="445" t="s">
        <v>3000</v>
      </c>
      <c r="D553" s="407" t="str">
        <f t="shared" si="14"/>
        <v>ZMB Sambia</v>
      </c>
      <c r="E553" s="405" t="s">
        <v>3001</v>
      </c>
      <c r="F553" s="408" t="s">
        <v>3002</v>
      </c>
      <c r="G553" s="405" t="s">
        <v>3002</v>
      </c>
      <c r="H553" s="405" t="s">
        <v>676</v>
      </c>
      <c r="I553" s="405" t="s">
        <v>3003</v>
      </c>
      <c r="J553" s="380" t="s">
        <v>677</v>
      </c>
      <c r="K553" s="409" t="str">
        <f t="shared" si="15"/>
        <v/>
      </c>
    </row>
    <row r="554" spans="1:11" ht="15.75" customHeight="1">
      <c r="A554" s="445" t="s">
        <v>679</v>
      </c>
      <c r="B554" t="s">
        <v>3004</v>
      </c>
      <c r="C554" s="445" t="s">
        <v>3005</v>
      </c>
      <c r="D554" s="407" t="str">
        <f t="shared" si="14"/>
        <v>ZWE Simbabwe</v>
      </c>
      <c r="E554" s="405" t="s">
        <v>3006</v>
      </c>
      <c r="F554" s="408" t="s">
        <v>3007</v>
      </c>
      <c r="G554" s="405" t="s">
        <v>3007</v>
      </c>
      <c r="H554" s="405" t="s">
        <v>3008</v>
      </c>
      <c r="I554" s="405" t="s">
        <v>678</v>
      </c>
      <c r="J554" s="380" t="s">
        <v>679</v>
      </c>
      <c r="K554" s="409" t="str">
        <f t="shared" si="15"/>
        <v/>
      </c>
    </row>
    <row r="555" spans="1:11" ht="14" customHeight="1">
      <c r="D555" s="407" t="str">
        <f t="shared" ref="D555:D561" si="16">HLOOKUP($C$1,$E$1:$V$4910,ROW(D555))</f>
        <v>Durchschnitt Afrika</v>
      </c>
      <c r="E555" s="405" t="s">
        <v>3009</v>
      </c>
      <c r="F555" s="408" t="s">
        <v>3010</v>
      </c>
      <c r="G555" s="405" t="s">
        <v>680</v>
      </c>
      <c r="H555" s="405" t="s">
        <v>3011</v>
      </c>
      <c r="J555" s="380" t="s">
        <v>680</v>
      </c>
      <c r="K555" s="409" t="str">
        <f t="shared" si="15"/>
        <v>nix</v>
      </c>
    </row>
    <row r="556" spans="1:11" ht="14" customHeight="1">
      <c r="D556" s="407" t="str">
        <f t="shared" si="16"/>
        <v>Durchschnitt Amerika</v>
      </c>
      <c r="E556" s="405" t="s">
        <v>3012</v>
      </c>
      <c r="F556" s="408" t="s">
        <v>3013</v>
      </c>
      <c r="G556" s="405" t="s">
        <v>681</v>
      </c>
      <c r="H556" s="405" t="s">
        <v>3014</v>
      </c>
      <c r="I556" s="405" t="s">
        <v>3338</v>
      </c>
      <c r="J556" s="380" t="s">
        <v>681</v>
      </c>
      <c r="K556" s="409" t="str">
        <f t="shared" si="15"/>
        <v>nix</v>
      </c>
    </row>
    <row r="557" spans="1:11" ht="14" customHeight="1">
      <c r="D557" s="407" t="str">
        <f t="shared" si="16"/>
        <v>Durchschnitt Asien</v>
      </c>
      <c r="E557" s="405" t="s">
        <v>3015</v>
      </c>
      <c r="F557" s="408" t="s">
        <v>3016</v>
      </c>
      <c r="G557" s="405" t="s">
        <v>682</v>
      </c>
      <c r="H557" s="405" t="s">
        <v>3017</v>
      </c>
      <c r="I557" s="405" t="s">
        <v>3339</v>
      </c>
      <c r="J557" s="380" t="s">
        <v>682</v>
      </c>
      <c r="K557" s="409" t="str">
        <f t="shared" si="15"/>
        <v>nix</v>
      </c>
    </row>
    <row r="558" spans="1:11" ht="14" customHeight="1">
      <c r="D558" s="407" t="str">
        <f t="shared" si="16"/>
        <v>Durchschnitt Europa</v>
      </c>
      <c r="E558" s="405" t="s">
        <v>3018</v>
      </c>
      <c r="F558" s="408" t="s">
        <v>3019</v>
      </c>
      <c r="G558" s="405" t="s">
        <v>683</v>
      </c>
      <c r="H558" s="405" t="s">
        <v>3020</v>
      </c>
      <c r="I558" s="405" t="s">
        <v>3340</v>
      </c>
      <c r="J558" s="380" t="s">
        <v>683</v>
      </c>
      <c r="K558" s="409" t="str">
        <f t="shared" si="15"/>
        <v>nix</v>
      </c>
    </row>
    <row r="559" spans="1:11" ht="14" customHeight="1">
      <c r="D559" s="407" t="str">
        <f t="shared" si="16"/>
        <v>Durchschnitt Ozeanien</v>
      </c>
      <c r="E559" s="405" t="s">
        <v>3021</v>
      </c>
      <c r="F559" s="408" t="s">
        <v>3022</v>
      </c>
      <c r="G559" s="405" t="s">
        <v>684</v>
      </c>
      <c r="H559" s="405" t="s">
        <v>3023</v>
      </c>
      <c r="I559" s="405" t="s">
        <v>3341</v>
      </c>
      <c r="J559" s="380" t="s">
        <v>684</v>
      </c>
      <c r="K559" s="409" t="str">
        <f t="shared" si="15"/>
        <v>nix</v>
      </c>
    </row>
    <row r="560" spans="1:11" ht="14" customHeight="1">
      <c r="D560" s="407" t="str">
        <f t="shared" si="16"/>
        <v>Durchschnitt Welt</v>
      </c>
      <c r="E560" s="405" t="s">
        <v>3024</v>
      </c>
      <c r="F560" s="408" t="s">
        <v>3025</v>
      </c>
      <c r="H560" s="405" t="s">
        <v>3026</v>
      </c>
      <c r="I560" s="405" t="s">
        <v>3342</v>
      </c>
      <c r="J560" s="335" t="s">
        <v>685</v>
      </c>
      <c r="K560" s="409" t="str">
        <f t="shared" si="15"/>
        <v>nix</v>
      </c>
    </row>
    <row r="561" spans="4:11" ht="14" customHeight="1">
      <c r="D561" s="407" t="str">
        <f t="shared" si="16"/>
        <v>Überwiegende Herkunft restlicher Lieferanten</v>
      </c>
      <c r="E561" s="405" t="s">
        <v>1710</v>
      </c>
      <c r="F561" s="408" t="s">
        <v>3027</v>
      </c>
      <c r="H561" s="405" t="s">
        <v>3028</v>
      </c>
      <c r="I561" s="405" t="s">
        <v>3343</v>
      </c>
      <c r="K561" s="409" t="str">
        <f t="shared" si="15"/>
        <v/>
      </c>
    </row>
    <row r="65535" ht="12.75" customHeight="1"/>
    <row r="65536" ht="12.75" customHeight="1"/>
  </sheetData>
  <sheetProtection algorithmName="SHA-512" hashValue="jwzCqpGacfQea8hVqimL+h6FTOxeLRW+CeqKHdGV8SnP8VenziXDOjjZh3C5iINlYfZ6ImrM0+SGxtzhj6nvYg==" saltValue="Su8RWTxfuRIuBO9CFapUTA==" spinCount="100000" sheet="1" objects="1" scenarios="1"/>
  <hyperlinks>
    <hyperlink ref="F55" r:id="rId1" xr:uid="{00000000-0004-0000-0D00-000000000000}"/>
    <hyperlink ref="H55" r:id="rId2" xr:uid="{00000000-0004-0000-0D00-000001000000}"/>
    <hyperlink ref="F56" r:id="rId3" xr:uid="{00000000-0004-0000-0D00-000002000000}"/>
    <hyperlink ref="H56" r:id="rId4" xr:uid="{00000000-0004-0000-0D00-000003000000}"/>
    <hyperlink ref="G57" r:id="rId5" xr:uid="{00000000-0004-0000-0D00-000004000000}"/>
    <hyperlink ref="H57" r:id="rId6" xr:uid="{00000000-0004-0000-0D00-000005000000}"/>
    <hyperlink ref="E58" r:id="rId7" xr:uid="{00000000-0004-0000-0D00-000006000000}"/>
    <hyperlink ref="G58" r:id="rId8" xr:uid="{00000000-0004-0000-0D00-000007000000}"/>
    <hyperlink ref="H58" r:id="rId9" xr:uid="{00000000-0004-0000-0D00-000008000000}"/>
  </hyperlinks>
  <pageMargins left="0.78749999999999998" right="0.78749999999999998" top="1.0527777777777778" bottom="1.0527777777777778" header="0.78749999999999998" footer="0.78749999999999998"/>
  <pageSetup paperSize="9" firstPageNumber="0" orientation="portrait" horizontalDpi="300" verticalDpi="300" r:id="rId10"/>
  <headerFooter alignWithMargins="0">
    <oddHeader>&amp;C&amp;"Times New Roman,Regular"&amp;12&amp;A</oddHeader>
    <oddFooter>&amp;C&amp;"Times New Roman,Regular"&amp;12Seite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5"/>
  <sheetViews>
    <sheetView showGridLines="0" zoomScale="75" zoomScaleNormal="75" workbookViewId="0"/>
  </sheetViews>
  <sheetFormatPr baseColWidth="10" defaultColWidth="10.6640625" defaultRowHeight="12.75" customHeight="1"/>
  <cols>
    <col min="1" max="1" width="2.6640625" style="1" customWidth="1"/>
    <col min="2" max="2" width="29.33203125" style="1" customWidth="1"/>
    <col min="3" max="3" width="54.83203125" style="9" customWidth="1"/>
    <col min="4" max="16384" width="10.6640625" style="1"/>
  </cols>
  <sheetData>
    <row r="1" spans="1:3" ht="12.75" customHeight="1">
      <c r="A1" s="2"/>
      <c r="B1" s="10"/>
      <c r="C1" s="11"/>
    </row>
    <row r="2" spans="1:3" ht="12.75" customHeight="1">
      <c r="A2" s="2"/>
      <c r="B2" s="474" t="str">
        <f>'12.lan'!D91&amp;" - "&amp;'0. Intro'!B3&amp;" "&amp;'0. Intro'!C3</f>
        <v>Gemeinwohl-Bilanz-Rechner - Version 5.08</v>
      </c>
      <c r="C2" s="474"/>
    </row>
    <row r="3" spans="1:3" ht="18" customHeight="1">
      <c r="A3" s="2"/>
      <c r="B3" s="489" t="str">
        <f>'12.lan'!D62</f>
        <v>ALLGEMEINE ANGABEN ZUM UNTERNEHMEN</v>
      </c>
      <c r="C3" s="489"/>
    </row>
    <row r="4" spans="1:3" ht="22.5" customHeight="1">
      <c r="A4" s="2"/>
      <c r="B4" s="8" t="str">
        <f>'12.lan'!D63</f>
        <v>Bitte vollständig ausfüllen!</v>
      </c>
      <c r="C4" s="12"/>
    </row>
    <row r="5" spans="1:3" ht="12.75" customHeight="1">
      <c r="A5" s="2"/>
      <c r="B5" s="10"/>
      <c r="C5" s="11"/>
    </row>
    <row r="6" spans="1:3" ht="19.5" customHeight="1">
      <c r="A6" s="2"/>
      <c r="B6" s="13" t="str">
        <f>'12.lan'!D64</f>
        <v>Name des Unternehmens:</v>
      </c>
      <c r="C6" s="14"/>
    </row>
    <row r="7" spans="1:3" ht="19.5" customHeight="1">
      <c r="A7" s="2"/>
      <c r="B7" s="15" t="str">
        <f>'12.lan'!D65</f>
        <v>Anschrift:</v>
      </c>
      <c r="C7" s="14"/>
    </row>
    <row r="8" spans="1:3" ht="19.5" customHeight="1">
      <c r="A8" s="2"/>
      <c r="B8" s="15" t="str">
        <f>'12.lan'!D66</f>
        <v>Staat:</v>
      </c>
      <c r="C8" s="14"/>
    </row>
    <row r="9" spans="1:3" ht="19.5" customHeight="1">
      <c r="A9" s="2"/>
      <c r="B9" s="15" t="str">
        <f>'12.lan'!D67</f>
        <v>Branche:</v>
      </c>
      <c r="C9" s="14"/>
    </row>
    <row r="10" spans="1:3" ht="19.5" customHeight="1">
      <c r="A10" s="2"/>
      <c r="B10" s="15" t="str">
        <f>'12.lan'!D68</f>
        <v>Website:</v>
      </c>
      <c r="C10" s="396"/>
    </row>
    <row r="11" spans="1:3" ht="9.75" customHeight="1">
      <c r="A11" s="2"/>
      <c r="B11" s="16"/>
      <c r="C11" s="17"/>
    </row>
    <row r="12" spans="1:3" ht="19.5" customHeight="1">
      <c r="A12" s="2"/>
      <c r="B12" s="15" t="str">
        <f>'12.lan'!D83</f>
        <v>Bilanz-Jahr</v>
      </c>
      <c r="C12" s="14"/>
    </row>
    <row r="13" spans="1:3" ht="9.75" customHeight="1">
      <c r="A13" s="2"/>
      <c r="B13" s="18"/>
      <c r="C13" s="19"/>
    </row>
    <row r="14" spans="1:3" ht="19.5" customHeight="1">
      <c r="A14" s="2"/>
      <c r="B14" s="13" t="str">
        <f>'12.lan'!D73</f>
        <v>ErstellerIn:</v>
      </c>
      <c r="C14" s="14"/>
    </row>
    <row r="15" spans="1:3" ht="19.5" customHeight="1">
      <c r="A15" s="2"/>
      <c r="B15" s="15" t="str">
        <f>'12.lan'!D74</f>
        <v>E-Mail-Adresse:</v>
      </c>
      <c r="C15" s="14"/>
    </row>
    <row r="16" spans="1:3" ht="19.5" customHeight="1">
      <c r="A16" s="2"/>
      <c r="B16" s="15" t="str">
        <f>'12.lan'!D75</f>
        <v>Telefonnummer:</v>
      </c>
      <c r="C16" s="14"/>
    </row>
    <row r="17" spans="1:3" ht="9.75" customHeight="1">
      <c r="A17" s="2"/>
      <c r="B17" s="18"/>
      <c r="C17" s="19"/>
    </row>
    <row r="18" spans="1:3" ht="19.5" customHeight="1">
      <c r="A18" s="2"/>
      <c r="B18" s="13" t="str">
        <f>'12.lan'!D76</f>
        <v>BeraterIn:</v>
      </c>
      <c r="C18" s="14"/>
    </row>
    <row r="19" spans="1:3" ht="19.5" customHeight="1">
      <c r="A19" s="2"/>
      <c r="B19" s="15" t="str">
        <f>'12.lan'!D74</f>
        <v>E-Mail-Adresse:</v>
      </c>
      <c r="C19" s="14"/>
    </row>
    <row r="20" spans="1:3" ht="19.5" customHeight="1">
      <c r="A20" s="2"/>
      <c r="B20" s="15" t="str">
        <f>'12.lan'!D75</f>
        <v>Telefonnummer:</v>
      </c>
      <c r="C20" s="14"/>
    </row>
    <row r="21" spans="1:3" ht="9.75" customHeight="1">
      <c r="A21" s="2"/>
      <c r="B21" s="18"/>
      <c r="C21" s="19"/>
    </row>
    <row r="22" spans="1:3" ht="64.5" customHeight="1">
      <c r="A22" s="2"/>
      <c r="B22" s="20" t="str">
        <f>'12.lan'!D79</f>
        <v>Kurzbeschreibung
des Unternehmens:</v>
      </c>
      <c r="C22" s="14"/>
    </row>
    <row r="23" spans="1:3" ht="9.75" customHeight="1">
      <c r="A23" s="2"/>
      <c r="B23" s="21"/>
      <c r="C23" s="22"/>
    </row>
    <row r="24" spans="1:3" ht="64.5" customHeight="1">
      <c r="B24" s="23" t="str">
        <f>'12.lan'!D80</f>
        <v>Sonstige Anmerkungen:</v>
      </c>
      <c r="C24" s="14"/>
    </row>
    <row r="25" spans="1:3" ht="120.75" customHeight="1">
      <c r="A25" s="2"/>
      <c r="B25" s="2"/>
      <c r="C25" s="11"/>
    </row>
  </sheetData>
  <sheetProtection algorithmName="SHA-512" hashValue="eo7Hl2Xy7Ks5QvzqLqXajZTX8NIRpfMFjTdYnHApJpeHucceaOEAnwzoaSGB9imSk7W34SsJp31M2NfiS1VGfQ==" saltValue="V+B3inz3fy2WKRuleV4IRA==" spinCount="100000" sheet="1" objects="1" scenarios="1"/>
  <mergeCells count="2">
    <mergeCell ref="B2:C2"/>
    <mergeCell ref="B3:C3"/>
  </mergeCell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8"/>
  <sheetViews>
    <sheetView showGridLines="0" zoomScale="75" zoomScaleNormal="75" workbookViewId="0"/>
  </sheetViews>
  <sheetFormatPr baseColWidth="10" defaultColWidth="10.6640625" defaultRowHeight="12.75" customHeight="1"/>
  <cols>
    <col min="1" max="1" width="2.6640625" style="1" customWidth="1"/>
    <col min="2" max="2" width="58.33203125" style="1" customWidth="1"/>
    <col min="3" max="3" width="41" style="9" customWidth="1"/>
    <col min="4" max="4" width="25" style="1" customWidth="1"/>
    <col min="5" max="5" width="29.33203125" style="1" customWidth="1"/>
    <col min="6" max="6" width="19.33203125" style="1" customWidth="1"/>
    <col min="7" max="12" width="10.6640625" style="1"/>
    <col min="13" max="13" width="0" style="1" hidden="1" customWidth="1"/>
    <col min="14" max="16384" width="10.6640625" style="1"/>
  </cols>
  <sheetData>
    <row r="1" spans="1:13" ht="12.75" customHeight="1">
      <c r="A1" s="2"/>
      <c r="B1" s="10"/>
      <c r="C1" s="11"/>
    </row>
    <row r="2" spans="1:13" ht="12.75" customHeight="1">
      <c r="A2" s="2"/>
      <c r="B2" s="474" t="str">
        <f>'12.lan'!D91&amp;" - "&amp;'0. Intro'!B3&amp;" "&amp;'0. Intro'!C3</f>
        <v>Gemeinwohl-Bilanz-Rechner - Version 5.08</v>
      </c>
      <c r="C2" s="474"/>
      <c r="M2" s="1" t="str">
        <f>'12.lan'!D52</f>
        <v>ja</v>
      </c>
    </row>
    <row r="3" spans="1:13" ht="18" customHeight="1">
      <c r="A3" s="2"/>
      <c r="B3" s="489" t="str">
        <f>'12.lan'!D194</f>
        <v>Fakten zum Unternehmen</v>
      </c>
      <c r="C3" s="489"/>
      <c r="M3" s="1" t="str">
        <f>'12.lan'!D53</f>
        <v>nein</v>
      </c>
    </row>
    <row r="4" spans="1:13" ht="73.5" customHeight="1">
      <c r="A4" s="2"/>
      <c r="B4" s="490" t="str">
        <f>'12.lan'!D195</f>
        <v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C4" s="490"/>
    </row>
    <row r="5" spans="1:13" ht="12.75" customHeight="1">
      <c r="A5" s="2"/>
      <c r="B5" s="10"/>
      <c r="C5" s="11"/>
    </row>
    <row r="6" spans="1:13" ht="19.5" customHeight="1">
      <c r="A6" s="2"/>
      <c r="B6" s="13" t="str">
        <f>'12.lan'!B108</f>
        <v>A: Lieferant*innen</v>
      </c>
      <c r="C6" s="24"/>
      <c r="D6" s="24"/>
      <c r="E6" s="24"/>
      <c r="F6" s="24"/>
    </row>
    <row r="7" spans="1:13" ht="19.5" customHeight="1">
      <c r="A7" s="2"/>
      <c r="B7" s="15" t="str">
        <f>'12.lan'!D297</f>
        <v>Gesamt-Ausgaben an Lieferanten (in Euro):</v>
      </c>
      <c r="C7" s="25">
        <v>0</v>
      </c>
      <c r="D7" s="397" t="str">
        <f>IF(SUM(F10:F14)&gt;C7,'12.lan'!D44,"")</f>
        <v/>
      </c>
      <c r="E7" s="26"/>
      <c r="F7" s="27"/>
    </row>
    <row r="8" spans="1:13" ht="19.5" customHeight="1">
      <c r="A8" s="2"/>
      <c r="B8" s="15" t="str">
        <f>'12.lan'!D298</f>
        <v xml:space="preserve">Tragen Sie nachstehend, bitte die 5 wichtigstenBranchen ein, aus denen Sie Produkte/Dienstleistungen beziehen. </v>
      </c>
      <c r="C8" s="24"/>
      <c r="D8" s="24"/>
      <c r="E8" s="24"/>
      <c r="F8" s="24"/>
    </row>
    <row r="9" spans="1:13" ht="19.5" customHeight="1">
      <c r="A9" s="2"/>
      <c r="B9" s="13" t="str">
        <f>'12.lan'!D299</f>
        <v>Branche</v>
      </c>
      <c r="C9" s="13" t="str">
        <f>'12.lan'!D300</f>
        <v>Beschreibung</v>
      </c>
      <c r="D9" s="13" t="str">
        <f>'12.lan'!D301</f>
        <v>regionale Herkunft</v>
      </c>
      <c r="E9" s="13"/>
      <c r="F9" s="13" t="str">
        <f>'12.lan'!D302</f>
        <v>Ausgaben</v>
      </c>
    </row>
    <row r="10" spans="1:13" ht="19.5" customHeight="1">
      <c r="A10" s="2"/>
      <c r="B10" s="28" t="str">
        <f>'12.lan'!$D$203</f>
        <v>Bitte Auswählen</v>
      </c>
      <c r="C10" s="25" t="str">
        <f>'12.lan'!$D$202</f>
        <v>bitte einfügen</v>
      </c>
      <c r="D10" s="25" t="str">
        <f>'12.lan'!$D$203</f>
        <v>Bitte Auswählen</v>
      </c>
      <c r="E10" s="25"/>
      <c r="F10" s="25">
        <v>0</v>
      </c>
    </row>
    <row r="11" spans="1:13" ht="19.5" customHeight="1">
      <c r="A11" s="2"/>
      <c r="B11" s="28" t="str">
        <f>'12.lan'!$D$203</f>
        <v>Bitte Auswählen</v>
      </c>
      <c r="C11" s="25" t="str">
        <f>'12.lan'!$D$202</f>
        <v>bitte einfügen</v>
      </c>
      <c r="D11" s="25" t="str">
        <f>'12.lan'!$D$203</f>
        <v>Bitte Auswählen</v>
      </c>
      <c r="E11" s="25"/>
      <c r="F11" s="25">
        <v>0</v>
      </c>
    </row>
    <row r="12" spans="1:13" ht="19.5" customHeight="1">
      <c r="A12" s="2"/>
      <c r="B12" s="28" t="str">
        <f>'12.lan'!$D$203</f>
        <v>Bitte Auswählen</v>
      </c>
      <c r="C12" s="25" t="str">
        <f>'12.lan'!$D$202</f>
        <v>bitte einfügen</v>
      </c>
      <c r="D12" s="25" t="str">
        <f>'12.lan'!$D$203</f>
        <v>Bitte Auswählen</v>
      </c>
      <c r="E12" s="25"/>
      <c r="F12" s="25">
        <v>0</v>
      </c>
    </row>
    <row r="13" spans="1:13" ht="19.5" customHeight="1">
      <c r="A13" s="2"/>
      <c r="B13" s="28" t="str">
        <f>'12.lan'!$D$203</f>
        <v>Bitte Auswählen</v>
      </c>
      <c r="C13" s="25" t="str">
        <f>'12.lan'!$D$202</f>
        <v>bitte einfügen</v>
      </c>
      <c r="D13" s="25" t="str">
        <f>'12.lan'!$D$203</f>
        <v>Bitte Auswählen</v>
      </c>
      <c r="E13" s="25"/>
      <c r="F13" s="25">
        <v>0</v>
      </c>
    </row>
    <row r="14" spans="1:13" ht="19.5" customHeight="1">
      <c r="A14" s="2"/>
      <c r="B14" s="28" t="str">
        <f>'12.lan'!$D$203</f>
        <v>Bitte Auswählen</v>
      </c>
      <c r="C14" s="25" t="str">
        <f>'12.lan'!$D$202</f>
        <v>bitte einfügen</v>
      </c>
      <c r="D14" s="25" t="str">
        <f>'12.lan'!$D$203</f>
        <v>Bitte Auswählen</v>
      </c>
      <c r="E14" s="25"/>
      <c r="F14" s="25">
        <v>0</v>
      </c>
    </row>
    <row r="15" spans="1:13" ht="19.5" customHeight="1">
      <c r="A15" s="2"/>
      <c r="B15" s="491" t="str">
        <f>'12.lan'!$D$303</f>
        <v>Überwiegende Herkunft restlicher Lieferanten</v>
      </c>
      <c r="C15" s="491"/>
      <c r="D15" s="25" t="str">
        <f>'12.lan'!$D$203</f>
        <v>Bitte Auswählen</v>
      </c>
      <c r="E15" s="25"/>
      <c r="F15" s="29">
        <f>C7-F10-F11-F12-F13-F14</f>
        <v>0</v>
      </c>
    </row>
    <row r="16" spans="1:13" ht="9.75" customHeight="1">
      <c r="A16" s="2"/>
      <c r="B16" s="18"/>
      <c r="C16" s="19"/>
    </row>
    <row r="17" spans="1:6" ht="19.5" customHeight="1">
      <c r="A17" s="2"/>
      <c r="B17" s="13" t="str">
        <f>'12.lan'!B122</f>
        <v>B: Eigentümer*innen und Finanzpartner*innen</v>
      </c>
      <c r="C17" s="24"/>
    </row>
    <row r="18" spans="1:6" ht="19.5" customHeight="1">
      <c r="A18" s="2"/>
      <c r="B18" s="15" t="str">
        <f>'12.lan'!D304</f>
        <v>Gewinn (EBIT):</v>
      </c>
      <c r="C18" s="25">
        <v>0</v>
      </c>
    </row>
    <row r="19" spans="1:6" ht="19.5" customHeight="1">
      <c r="A19" s="2"/>
      <c r="B19" s="15" t="str">
        <f>'12.lan'!D305</f>
        <v>Finanzierungskosten</v>
      </c>
      <c r="C19" s="25">
        <v>0</v>
      </c>
    </row>
    <row r="20" spans="1:6" ht="19.5" customHeight="1">
      <c r="A20" s="2"/>
      <c r="B20" s="15" t="str">
        <f>'12.lan'!D306</f>
        <v>Erträge aus Finanzanlagen</v>
      </c>
      <c r="C20" s="25">
        <v>0</v>
      </c>
    </row>
    <row r="21" spans="1:6" ht="19.5" customHeight="1">
      <c r="A21" s="2"/>
      <c r="B21" s="15" t="str">
        <f>'12.lan'!D307</f>
        <v>Bilanzaktiva</v>
      </c>
      <c r="C21" s="25">
        <v>0</v>
      </c>
    </row>
    <row r="22" spans="1:6" ht="19.5" customHeight="1">
      <c r="A22" s="2"/>
      <c r="B22" s="15" t="str">
        <f>'12.lan'!D308</f>
        <v xml:space="preserve">Zugänge zum Anlagevermögen </v>
      </c>
      <c r="C22" s="25">
        <v>0</v>
      </c>
    </row>
    <row r="23" spans="1:6" ht="19.5" customHeight="1">
      <c r="A23" s="2"/>
      <c r="B23" s="15" t="str">
        <f>'12.lan'!D309</f>
        <v>Finanzanlagen und Barguthaben</v>
      </c>
      <c r="C23" s="25">
        <v>0</v>
      </c>
    </row>
    <row r="24" spans="1:6" ht="9.75" customHeight="1">
      <c r="A24" s="2"/>
      <c r="B24" s="18"/>
      <c r="C24" s="19"/>
    </row>
    <row r="25" spans="1:6" ht="19.5" customHeight="1">
      <c r="A25" s="2"/>
      <c r="B25" s="13" t="str">
        <f>'12.lan'!B137</f>
        <v>C: Mitarbeitende</v>
      </c>
      <c r="C25" s="24"/>
    </row>
    <row r="26" spans="1:6" ht="19.5" customHeight="1">
      <c r="A26" s="2"/>
      <c r="B26" s="15" t="str">
        <f>'12.lan'!D310</f>
        <v xml:space="preserve">Anzahl der Mitarbeitenden (in Vollzeitäquivalenten): </v>
      </c>
      <c r="C26" s="25">
        <v>0</v>
      </c>
    </row>
    <row r="27" spans="1:6" ht="19.5" customHeight="1">
      <c r="A27" s="2"/>
      <c r="B27" s="15" t="str">
        <f>'12.lan'!D311</f>
        <v>Personalkosten (brutto ohne Dienstgeberanteil)</v>
      </c>
      <c r="C27" s="25">
        <v>0</v>
      </c>
    </row>
    <row r="28" spans="1:6" ht="19.5" customHeight="1">
      <c r="A28" s="2"/>
      <c r="B28" s="15" t="str">
        <f>'12.lan'!D312</f>
        <v>Tragen Sie bitte nachstehend jene drei Länder und Regionen ein, wo die meisten Mitarbeitenden arbeiten</v>
      </c>
      <c r="C28" s="24"/>
    </row>
    <row r="29" spans="1:6" ht="19.5" customHeight="1">
      <c r="A29" s="2"/>
      <c r="B29" s="15" t="str">
        <f>'12.lan'!D313</f>
        <v>Land &amp; Region</v>
      </c>
      <c r="C29" s="15"/>
      <c r="D29" s="1" t="str">
        <f>'12.lan'!D314</f>
        <v xml:space="preserve">Anteil in % </v>
      </c>
    </row>
    <row r="30" spans="1:6" ht="19.5" customHeight="1">
      <c r="A30" s="2"/>
      <c r="B30" s="25" t="str">
        <f>'12.lan'!$D$203</f>
        <v>Bitte Auswählen</v>
      </c>
      <c r="C30" s="25"/>
      <c r="D30" s="30">
        <v>0</v>
      </c>
      <c r="E30" s="26" t="str">
        <f>IF(SUM(D30:D32)&gt;"100%","fehlerhafte Eingabe","")</f>
        <v/>
      </c>
      <c r="F30" s="26"/>
    </row>
    <row r="31" spans="1:6" ht="19.5" customHeight="1">
      <c r="A31" s="2"/>
      <c r="B31" s="25" t="str">
        <f>'12.lan'!$D$203</f>
        <v>Bitte Auswählen</v>
      </c>
      <c r="C31" s="25"/>
      <c r="D31" s="30">
        <v>0</v>
      </c>
    </row>
    <row r="32" spans="1:6" ht="19.5" customHeight="1">
      <c r="A32" s="2"/>
      <c r="B32" s="25" t="str">
        <f>'12.lan'!$D$203</f>
        <v>Bitte Auswählen</v>
      </c>
      <c r="C32" s="25"/>
      <c r="D32" s="30">
        <v>0</v>
      </c>
    </row>
    <row r="33" spans="1:6" ht="19.5" customHeight="1">
      <c r="A33" s="2"/>
      <c r="B33" s="15" t="str">
        <f>'12.lan'!D315</f>
        <v>Durchschnittlicher Arbeitsweg der Mitarbeitenden (in km):</v>
      </c>
      <c r="C33" s="25">
        <v>0</v>
      </c>
    </row>
    <row r="34" spans="1:6" ht="19.5" customHeight="1">
      <c r="A34" s="2"/>
      <c r="B34" s="15" t="str">
        <f>'12.lan'!D316</f>
        <v>Gibt es eine Kantine für die Mehrheit der Mitarbeitenden?</v>
      </c>
      <c r="C34" s="14"/>
      <c r="D34" s="31" t="s">
        <v>5</v>
      </c>
      <c r="E34" s="31"/>
      <c r="F34" s="31" t="s">
        <v>6</v>
      </c>
    </row>
    <row r="35" spans="1:6" ht="9.75" customHeight="1">
      <c r="A35" s="2"/>
      <c r="B35" s="18"/>
      <c r="C35" s="19"/>
    </row>
    <row r="36" spans="1:6" ht="19.5" customHeight="1">
      <c r="A36" s="2"/>
      <c r="B36" s="13" t="str">
        <f>'12.lan'!B158</f>
        <v>D: Kund*nnen und Mitunternehmen</v>
      </c>
      <c r="C36" s="24"/>
      <c r="D36" s="24"/>
      <c r="E36" s="24"/>
      <c r="F36" s="24"/>
    </row>
    <row r="37" spans="1:6" ht="19.5" customHeight="1">
      <c r="A37" s="2"/>
      <c r="B37" s="15" t="str">
        <f>'12.lan'!D317</f>
        <v>Umsatz (in Euro)</v>
      </c>
      <c r="C37" s="25"/>
      <c r="D37" s="27"/>
      <c r="E37" s="27"/>
      <c r="F37" s="27"/>
    </row>
    <row r="38" spans="1:6" ht="19.5" customHeight="1">
      <c r="A38" s="2"/>
      <c r="B38" s="15" t="str">
        <f>'12.lan'!D318</f>
        <v>Haben Sie nahezu ausschließlich Unternehmen als Kunden</v>
      </c>
      <c r="C38" s="14"/>
      <c r="D38" s="27"/>
      <c r="E38" s="32"/>
      <c r="F38" s="32"/>
    </row>
    <row r="39" spans="1:6" ht="19.5" customHeight="1">
      <c r="A39" s="2"/>
      <c r="B39" s="15" t="str">
        <f>'12.lan'!D319</f>
        <v>Tragen Sie nachstehend, bitte die 3 wichtigsten Branchen ein, in denen Ihr Unternehmen tätig ist, inklusive ungefährem Umsatzanteil</v>
      </c>
      <c r="C39" s="24"/>
      <c r="D39" s="24"/>
      <c r="E39" s="19"/>
    </row>
    <row r="40" spans="1:6" ht="19.5" customHeight="1">
      <c r="A40" s="2"/>
      <c r="B40" s="15" t="str">
        <f>'12.lan'!D320</f>
        <v>Branche</v>
      </c>
      <c r="C40" s="15" t="str">
        <f>'12.lan'!D321</f>
        <v>Beschreibung</v>
      </c>
      <c r="D40" s="15" t="str">
        <f>'12.lan'!D322</f>
        <v>% Anteil am Gesamtumsatz</v>
      </c>
      <c r="E40" s="33"/>
    </row>
    <row r="41" spans="1:6" ht="19.5" customHeight="1">
      <c r="A41" s="2"/>
      <c r="B41" s="25" t="str">
        <f>'12.lan'!$D$203</f>
        <v>Bitte Auswählen</v>
      </c>
      <c r="C41" s="25"/>
      <c r="D41" s="30">
        <v>0</v>
      </c>
      <c r="E41" s="34"/>
      <c r="F41" s="35" t="str">
        <f>IF(SUM(D41:D43)&gt;"100%","fehlerhafte Eingabe","")</f>
        <v/>
      </c>
    </row>
    <row r="42" spans="1:6" ht="19.5" customHeight="1">
      <c r="A42" s="2"/>
      <c r="B42" s="25" t="str">
        <f>'12.lan'!$D$203</f>
        <v>Bitte Auswählen</v>
      </c>
      <c r="C42" s="25"/>
      <c r="D42" s="30">
        <v>0</v>
      </c>
      <c r="E42" s="34"/>
    </row>
    <row r="43" spans="1:6" ht="19.5" customHeight="1">
      <c r="A43" s="2"/>
      <c r="B43" s="25" t="str">
        <f>'12.lan'!$D$203</f>
        <v>Bitte Auswählen</v>
      </c>
      <c r="C43" s="25"/>
      <c r="D43" s="30">
        <v>0</v>
      </c>
      <c r="E43" s="34"/>
      <c r="F43" s="398" t="str">
        <f>IF(SUM(D41:D43)&gt;1,'12.lan'!D44,"")</f>
        <v/>
      </c>
    </row>
    <row r="44" spans="1:6" ht="9.75" customHeight="1">
      <c r="A44" s="2"/>
      <c r="B44" s="18"/>
      <c r="C44" s="19"/>
    </row>
    <row r="45" spans="1:6" ht="19.5" customHeight="1">
      <c r="A45" s="2"/>
      <c r="B45" s="13" t="str">
        <f>'12.lan'!B175</f>
        <v>E: Gesellschaftliches Umfeld</v>
      </c>
      <c r="C45" s="24"/>
      <c r="D45" s="24"/>
      <c r="E45" s="24"/>
      <c r="F45" s="24"/>
    </row>
    <row r="46" spans="1:6" ht="19.5" customHeight="1">
      <c r="A46" s="2"/>
      <c r="B46" s="15" t="str">
        <f>'12.lan'!D323</f>
        <v xml:space="preserve">Unternehmensgrösse </v>
      </c>
      <c r="C46" s="15" t="str">
        <f>'9. Weighting'!H39</f>
        <v>Kleinstunternehmen</v>
      </c>
    </row>
    <row r="47" spans="1:6" ht="9.75" customHeight="1">
      <c r="A47" s="2"/>
      <c r="B47" s="18"/>
      <c r="C47" s="19"/>
    </row>
    <row r="48" spans="1:6" ht="9.75" customHeight="1">
      <c r="A48" s="2"/>
      <c r="B48" s="18"/>
      <c r="C48" s="19"/>
    </row>
  </sheetData>
  <sheetProtection algorithmName="SHA-512" hashValue="Hm+B5Pjqv7/7ixw8b45Vhb5SgtOeyT3OLh6MhboFQ6xj/W2fMbWkJmany/ZCG5DtG3lvfntZhLLjKvXE7gJtbQ==" saltValue="M2JnmOPT98O2mimilZ/oxA==" spinCount="100000" sheet="1" objects="1" scenarios="1"/>
  <mergeCells count="4">
    <mergeCell ref="B2:C2"/>
    <mergeCell ref="B3:C3"/>
    <mergeCell ref="B4:C4"/>
    <mergeCell ref="B15:C15"/>
  </mergeCells>
  <conditionalFormatting sqref="F10:F14">
    <cfRule type="cellIs" dxfId="27" priority="3" stopIfTrue="1" operator="equal">
      <formula>0</formula>
    </cfRule>
    <cfRule type="cellIs" dxfId="26" priority="4" stopIfTrue="1" operator="equal">
      <formula>0</formula>
    </cfRule>
  </conditionalFormatting>
  <conditionalFormatting sqref="C18:C23">
    <cfRule type="cellIs" dxfId="25" priority="5" stopIfTrue="1" operator="equal">
      <formula>0</formula>
    </cfRule>
  </conditionalFormatting>
  <conditionalFormatting sqref="C26:C27">
    <cfRule type="cellIs" dxfId="24" priority="6" stopIfTrue="1" operator="equal">
      <formula>0</formula>
    </cfRule>
  </conditionalFormatting>
  <conditionalFormatting sqref="D30:D32">
    <cfRule type="cellIs" dxfId="23" priority="7" stopIfTrue="1" operator="equal">
      <formula>0</formula>
    </cfRule>
  </conditionalFormatting>
  <conditionalFormatting sqref="C33">
    <cfRule type="cellIs" dxfId="22" priority="8" stopIfTrue="1" operator="equal">
      <formula>0</formula>
    </cfRule>
  </conditionalFormatting>
  <conditionalFormatting sqref="D41:D43">
    <cfRule type="cellIs" dxfId="21" priority="9" stopIfTrue="1" operator="equal">
      <formula>0</formula>
    </cfRule>
  </conditionalFormatting>
  <conditionalFormatting sqref="C37">
    <cfRule type="cellIs" dxfId="20" priority="10" stopIfTrue="1" operator="equal">
      <formula>0</formula>
    </cfRule>
  </conditionalFormatting>
  <conditionalFormatting sqref="B41:B43">
    <cfRule type="cellIs" dxfId="19" priority="11" stopIfTrue="1" operator="equal">
      <formula>"S - Andere Dienstleistungen"</formula>
    </cfRule>
  </conditionalFormatting>
  <conditionalFormatting sqref="C7">
    <cfRule type="cellIs" dxfId="18" priority="12" stopIfTrue="1" operator="equal">
      <formula>0</formula>
    </cfRule>
    <cfRule type="cellIs" dxfId="17" priority="13" stopIfTrue="1" operator="equal">
      <formula>0</formula>
    </cfRule>
  </conditionalFormatting>
  <conditionalFormatting sqref="C34">
    <cfRule type="cellIs" dxfId="16" priority="2" operator="equal">
      <formula>0</formula>
    </cfRule>
  </conditionalFormatting>
  <conditionalFormatting sqref="C38">
    <cfRule type="cellIs" dxfId="15" priority="1" operator="equal">
      <formula>0</formula>
    </cfRule>
  </conditionalFormatting>
  <dataValidations count="6">
    <dataValidation type="list" operator="equal" allowBlank="1" showErrorMessage="1" sqref="B13:B14" xr:uid="{00000000-0002-0000-0200-000000000000}">
      <formula1>Branchen</formula1>
      <formula2>0</formula2>
    </dataValidation>
    <dataValidation type="list" operator="equal" allowBlank="1" showErrorMessage="1" sqref="D13:D15 B32" xr:uid="{00000000-0002-0000-0200-000001000000}">
      <formula1>CountryCodes</formula1>
      <formula2>0</formula2>
    </dataValidation>
    <dataValidation operator="equal" allowBlank="1" showErrorMessage="1" sqref="E10:E15 B15:C15 C30:C32" xr:uid="{00000000-0002-0000-0200-000002000000}">
      <formula1>0</formula1>
      <formula2>0</formula2>
    </dataValidation>
    <dataValidation type="list" operator="equal" allowBlank="1" showErrorMessage="1" sqref="B30:B31 D10:D12" xr:uid="{00000000-0002-0000-0200-000003000000}">
      <formula1>CountryCodes</formula1>
    </dataValidation>
    <dataValidation type="list" operator="equal" allowBlank="1" showErrorMessage="1" sqref="B41:B43 B10:B12" xr:uid="{00000000-0002-0000-0200-000004000000}">
      <formula1>Branchen</formula1>
    </dataValidation>
    <dataValidation type="list" allowBlank="1" showInputMessage="1" showErrorMessage="1" sqref="C38 C34" xr:uid="{00000000-0002-0000-0200-000005000000}">
      <formula1>$M$2:$M$3</formula1>
    </dataValidation>
  </dataValidations>
  <pageMargins left="0.55972222222222223" right="0.7" top="0.6" bottom="0.78749999999999998"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O107"/>
  <sheetViews>
    <sheetView showGridLines="0" zoomScale="75" zoomScaleNormal="75" workbookViewId="0">
      <pane ySplit="8" topLeftCell="A9" activePane="bottomLeft" state="frozen"/>
      <selection pane="bottomLeft"/>
    </sheetView>
  </sheetViews>
  <sheetFormatPr baseColWidth="10" defaultColWidth="10.6640625" defaultRowHeight="12.75" customHeight="1"/>
  <cols>
    <col min="1" max="1" width="1.33203125" style="1" customWidth="1"/>
    <col min="2" max="2" width="6.6640625" style="36" customWidth="1"/>
    <col min="3" max="3" width="68.6640625" style="37" customWidth="1"/>
    <col min="4" max="4" width="6.33203125" style="38" customWidth="1"/>
    <col min="5" max="5" width="12.6640625" style="38" customWidth="1"/>
    <col min="6" max="6" width="42.6640625" style="36" customWidth="1"/>
    <col min="7" max="7" width="4.33203125" style="36" customWidth="1"/>
    <col min="8" max="8" width="8.1640625" style="38" customWidth="1"/>
    <col min="9" max="9" width="7.33203125" style="39" customWidth="1"/>
    <col min="10" max="10" width="7.33203125" style="40" customWidth="1"/>
    <col min="11" max="11" width="9.6640625" style="1" hidden="1" customWidth="1"/>
    <col min="12" max="12" width="12" style="1" hidden="1" customWidth="1"/>
    <col min="13" max="13" width="4.83203125" style="1" hidden="1" customWidth="1"/>
    <col min="14" max="14" width="21.1640625" style="1" customWidth="1"/>
    <col min="15" max="15" width="10.6640625" style="1" hidden="1" customWidth="1"/>
    <col min="16" max="16" width="10.6640625" style="1"/>
    <col min="17" max="17" width="13.6640625" style="1" bestFit="1" customWidth="1"/>
    <col min="18" max="16384" width="10.6640625" style="1"/>
  </cols>
  <sheetData>
    <row r="1" spans="1:15" ht="12.75" customHeight="1">
      <c r="A1" s="2"/>
      <c r="B1" s="10"/>
      <c r="C1" s="16"/>
      <c r="D1" s="41"/>
      <c r="E1" s="41"/>
      <c r="F1" s="10"/>
      <c r="G1" s="10"/>
      <c r="H1" s="41"/>
      <c r="I1" s="42"/>
      <c r="J1" s="43"/>
    </row>
    <row r="2" spans="1:15" ht="12.75" customHeight="1">
      <c r="A2" s="2"/>
      <c r="B2" s="474" t="str">
        <f>'12.lan'!D91&amp;" - "&amp;'0. Intro'!B3&amp;" "&amp;'0. Intro'!C3</f>
        <v>Gemeinwohl-Bilanz-Rechner - Version 5.08</v>
      </c>
      <c r="C2" s="474"/>
      <c r="D2" s="41"/>
      <c r="E2" s="41"/>
      <c r="F2" s="10"/>
      <c r="G2" s="44"/>
      <c r="H2" s="497"/>
      <c r="I2" s="497"/>
      <c r="J2" s="497"/>
    </row>
    <row r="3" spans="1:15" ht="5.25" customHeight="1">
      <c r="A3" s="2"/>
      <c r="B3" s="498" t="str">
        <f>'12.lan'!D90</f>
        <v>BERECHNUNG DER EINZELNEN ASPEKTE</v>
      </c>
      <c r="C3" s="498"/>
      <c r="D3" s="498"/>
      <c r="E3" s="453"/>
      <c r="F3" s="45"/>
      <c r="G3" s="10"/>
      <c r="H3" s="497"/>
      <c r="I3" s="497"/>
      <c r="J3" s="497"/>
    </row>
    <row r="4" spans="1:15" ht="19.5" customHeight="1">
      <c r="A4" s="2"/>
      <c r="B4" s="498"/>
      <c r="C4" s="498"/>
      <c r="D4" s="498"/>
      <c r="E4" s="453"/>
      <c r="F4" s="499" t="str">
        <f>'12.lan'!D92</f>
        <v>BILANZSUMME:</v>
      </c>
      <c r="G4" s="46"/>
      <c r="H4" s="500">
        <f>I4/J4</f>
        <v>0</v>
      </c>
      <c r="I4" s="501">
        <f>IF(SUM(I9+I23+I38+I59+I76)*1000/SUM(J9+J23+J38+J59+J76)&lt;-3600,-3600,SUM(I9+I23+I38+I59+I76)*1000/SUM(J9+J23+J38+J59+J76))</f>
        <v>0</v>
      </c>
      <c r="J4" s="502">
        <f>SUM(J9+J23+J38+J59+J76)*1000/SUM(J9+J23+J38+J59+J76)</f>
        <v>1000</v>
      </c>
      <c r="L4" s="47" t="s">
        <v>8</v>
      </c>
      <c r="M4" s="47"/>
      <c r="O4" s="1" t="s">
        <v>9</v>
      </c>
    </row>
    <row r="5" spans="1:15" ht="12.75" customHeight="1">
      <c r="A5" s="2"/>
      <c r="B5" s="503" t="str">
        <f>'12.lan'!D82&amp;": "&amp;'1. General'!C6&amp;"; "&amp;'12.lan'!D83&amp;": "&amp;'1. General'!C12</f>
        <v xml:space="preserve">Unternehmen: ; Bilanz-Jahr: </v>
      </c>
      <c r="C5" s="503"/>
      <c r="D5" s="503"/>
      <c r="E5" s="454"/>
      <c r="F5" s="499"/>
      <c r="G5" s="48"/>
      <c r="H5" s="500"/>
      <c r="I5" s="501"/>
      <c r="J5" s="502"/>
    </row>
    <row r="6" spans="1:15" ht="13.5" customHeight="1">
      <c r="A6" s="2"/>
      <c r="B6" s="10"/>
      <c r="C6" s="16"/>
      <c r="D6" s="41"/>
      <c r="E6" s="41"/>
      <c r="F6" s="10"/>
      <c r="G6" s="10"/>
      <c r="H6" s="41"/>
      <c r="I6" s="42"/>
      <c r="J6" s="43"/>
    </row>
    <row r="7" spans="1:15" ht="29.25" customHeight="1">
      <c r="A7" s="2"/>
      <c r="B7" s="492"/>
      <c r="C7" s="492"/>
      <c r="D7" s="492"/>
      <c r="E7" s="492"/>
      <c r="F7" s="492"/>
      <c r="G7" s="492"/>
      <c r="H7" s="492"/>
      <c r="I7" s="492"/>
      <c r="J7" s="492"/>
    </row>
    <row r="8" spans="1:15" ht="30" customHeight="1">
      <c r="A8" s="2"/>
      <c r="B8" s="49" t="str">
        <f>'12.lan'!D93</f>
        <v>Nr.</v>
      </c>
      <c r="C8" s="49" t="str">
        <f>'12.lan'!D107</f>
        <v>Berührungsgruppe/Themen/Aspekte</v>
      </c>
      <c r="D8" s="493" t="str">
        <f>'12.lan'!D96</f>
        <v>Gewichtung</v>
      </c>
      <c r="E8" s="493"/>
      <c r="F8" s="50" t="str">
        <f>'12.lan'!D102</f>
        <v>Erläuterung</v>
      </c>
      <c r="G8" s="50"/>
      <c r="H8" s="51" t="str">
        <f>'12.lan'!D104</f>
        <v>Erfüll.</v>
      </c>
      <c r="I8" s="52" t="str">
        <f>'12.lan'!D105</f>
        <v>Pkte</v>
      </c>
      <c r="J8" s="52" t="str">
        <f>'12.lan'!D106</f>
        <v>Max.</v>
      </c>
      <c r="L8" s="53" t="s">
        <v>10</v>
      </c>
      <c r="M8" s="53"/>
      <c r="O8" s="54" t="s">
        <v>11</v>
      </c>
    </row>
    <row r="9" spans="1:15" ht="36" customHeight="1">
      <c r="A9" s="2"/>
      <c r="B9" s="55" t="s">
        <v>12</v>
      </c>
      <c r="C9" s="450" t="str">
        <f>'12.lan'!D108</f>
        <v>Lieferant*innen</v>
      </c>
      <c r="D9" s="458">
        <f>L9</f>
        <v>1</v>
      </c>
      <c r="E9" s="451" t="str">
        <f>VLOOKUP(D9,$C$102:$D$106,2,FALSE)</f>
        <v>mittel</v>
      </c>
      <c r="F9" s="450"/>
      <c r="G9" s="450"/>
      <c r="H9" s="56">
        <f>IFERROR(I9/J9,0)</f>
        <v>0</v>
      </c>
      <c r="I9" s="57">
        <f>I10+I13+I17+I20</f>
        <v>0</v>
      </c>
      <c r="J9" s="57">
        <f>J10+J13+J17+J20</f>
        <v>200</v>
      </c>
      <c r="L9" s="1">
        <f>'9. Weighting'!K49</f>
        <v>1</v>
      </c>
      <c r="N9" s="452" t="str">
        <f>IF(D9&lt;&gt;L9,'12.lan'!$D$240&amp;VLOOKUP(L9,$C$102:$D$106,2,FALSE)&amp;" ("&amp;L9&amp;")","")</f>
        <v/>
      </c>
    </row>
    <row r="10" spans="1:15" ht="33" customHeight="1">
      <c r="A10" s="2"/>
      <c r="B10" s="59" t="s">
        <v>13</v>
      </c>
      <c r="C10" s="60" t="str">
        <f>'12.lan'!D109</f>
        <v>Menschenwürde in der Zulieferkette</v>
      </c>
      <c r="D10" s="61">
        <f>IF(K10="trifft nicht zu",C106,'9. Weighting'!M16)</f>
        <v>1</v>
      </c>
      <c r="E10" s="62" t="str">
        <f>VLOOKUP(D10,$C$102:$D$106,2,FALSE)</f>
        <v>mittel</v>
      </c>
      <c r="F10" s="63">
        <f>'9. Weighting'!M16</f>
        <v>1</v>
      </c>
      <c r="G10" s="60"/>
      <c r="H10" s="64">
        <f>IF(J10&lt;&gt;0,SUM(I11:I12)/J10,"-")</f>
        <v>0</v>
      </c>
      <c r="I10" s="65">
        <f>IF(J10=0,0,H10*J10)</f>
        <v>0</v>
      </c>
      <c r="J10" s="65">
        <f>'9. Weighting'!M15</f>
        <v>50</v>
      </c>
      <c r="L10" s="1">
        <f>VLOOKUP(O10,$C$102:$E$106,3,FALSE)</f>
        <v>1</v>
      </c>
      <c r="M10" s="1">
        <f>VLOOKUP(D10,$C$102:$E$106,3,FALSE)</f>
        <v>1</v>
      </c>
      <c r="N10" s="66" t="str">
        <f>IF(L10=M10,"",'12.lan'!$D$240&amp;VLOOKUP(L10,$C$102:$D$106,2,FALSE)&amp;" ("&amp;L10&amp;")")</f>
        <v/>
      </c>
      <c r="O10" s="1">
        <f>IF(K10="trifft nicht zu",C106,'9. Weighting'!M16)</f>
        <v>1</v>
      </c>
    </row>
    <row r="11" spans="1:15" ht="33.75" customHeight="1">
      <c r="A11" s="2"/>
      <c r="B11" s="67" t="s">
        <v>14</v>
      </c>
      <c r="C11" s="67" t="str">
        <f>'12.lan'!D110</f>
        <v>Arbeitsbedingungen und gesellschaftliche Auswirkungen in der Zulieferkette</v>
      </c>
      <c r="D11" s="68"/>
      <c r="E11" s="69"/>
      <c r="F11" s="70" t="str">
        <f>'12.lan'!$D$329</f>
        <v>Skalenwert eingeben: Wert muss im Bereich von 0 bis 10 liegen.</v>
      </c>
      <c r="G11" s="71"/>
      <c r="H11" s="72">
        <v>0</v>
      </c>
      <c r="I11" s="467">
        <f>J11*H11/10</f>
        <v>0</v>
      </c>
      <c r="J11" s="73">
        <f>J10*K11/K11</f>
        <v>50</v>
      </c>
      <c r="K11" s="1">
        <v>1</v>
      </c>
      <c r="N11" s="66" t="str">
        <f>IF(L11=M11,"",'12.lan'!$D$240&amp;" "&amp;VLOOKUP(L11,$C$102:$D$106,2,FALSE)&amp;" ("&amp;L11&amp;")")</f>
        <v/>
      </c>
    </row>
    <row r="12" spans="1:15" ht="30" customHeight="1">
      <c r="A12" s="2"/>
      <c r="B12" s="67" t="s">
        <v>15</v>
      </c>
      <c r="C12" s="67" t="str">
        <f>'12.lan'!D111</f>
        <v>Negativ-Aspekt: Verletzung der Menschenwürde in der Zulieferkette</v>
      </c>
      <c r="D12" s="68"/>
      <c r="E12" s="69"/>
      <c r="F12" s="70" t="str">
        <f>'12.lan'!$D$330</f>
        <v>Negativpunkte eingeben: Werte müssen im Bereich von -200 bis 0 liegen.</v>
      </c>
      <c r="G12" s="71"/>
      <c r="H12" s="72">
        <v>0</v>
      </c>
      <c r="I12" s="467">
        <f>H12*J10/50</f>
        <v>0</v>
      </c>
      <c r="J12" s="73">
        <f>-200*J10/50</f>
        <v>-200</v>
      </c>
    </row>
    <row r="13" spans="1:15" ht="33" customHeight="1">
      <c r="A13" s="2"/>
      <c r="B13" s="59" t="s">
        <v>16</v>
      </c>
      <c r="C13" s="60" t="str">
        <f>'12.lan'!D112</f>
        <v>Solidarität und Gerechtigkeit in der Zulieferkette</v>
      </c>
      <c r="D13" s="61">
        <f>IF(K13="trifft nicht zu",C106,'9. Weighting'!N16)</f>
        <v>1</v>
      </c>
      <c r="E13" s="62" t="str">
        <f>VLOOKUP(D13,$C$102:$D$106,2,FALSE)</f>
        <v>mittel</v>
      </c>
      <c r="F13" s="74">
        <f>IF(K13="trifft nicht zu","trifft nicht zu",'9. Weighting'!N16)</f>
        <v>1</v>
      </c>
      <c r="G13" s="75"/>
      <c r="H13" s="64">
        <f>IF(J13&lt;&gt;0,SUM(I14:I16)/J13,"-")</f>
        <v>0</v>
      </c>
      <c r="I13" s="65">
        <f>IF(J13=0,0,H13*J13)</f>
        <v>0</v>
      </c>
      <c r="J13" s="65">
        <f>'9. Weighting'!N15</f>
        <v>50</v>
      </c>
      <c r="K13" s="1" t="str">
        <f>IF(AND(D14="trifft nicht zu",D15="trifft nicht zu"),"trifft nicht zu","")</f>
        <v/>
      </c>
      <c r="L13" s="1">
        <f>VLOOKUP(O13,$C$102:$E$106,3,FALSE)</f>
        <v>1</v>
      </c>
      <c r="M13" s="1">
        <f>VLOOKUP(D13,$C$102:$E$106,3,FALSE)</f>
        <v>1</v>
      </c>
      <c r="N13" s="66" t="str">
        <f>IF(L13=M13,"",'12.lan'!$D$240&amp;VLOOKUP(L13,$C$102:$D$106,2,FALSE)&amp;" ("&amp;L13&amp;")")</f>
        <v/>
      </c>
      <c r="O13" s="1">
        <f>IF(K13="trifft nicht zu",C106,'9. Weighting'!N16)</f>
        <v>1</v>
      </c>
    </row>
    <row r="14" spans="1:15" ht="30" customHeight="1">
      <c r="A14" s="2"/>
      <c r="B14" s="67" t="s">
        <v>17</v>
      </c>
      <c r="C14" s="67" t="str">
        <f>'12.lan'!D113</f>
        <v>Faire Geschäftsbeziehungen zu direkten Lieferant*innen</v>
      </c>
      <c r="D14" s="68">
        <v>1</v>
      </c>
      <c r="E14" s="80" t="str">
        <f>VLOOKUP(D14,$C$102:$D$106,2,FALSE)</f>
        <v>mittel</v>
      </c>
      <c r="F14" s="70" t="str">
        <f>'12.lan'!$D$329</f>
        <v>Skalenwert eingeben: Wert muss im Bereich von 0 bis 10 liegen.</v>
      </c>
      <c r="G14" s="71"/>
      <c r="H14" s="72">
        <v>0</v>
      </c>
      <c r="I14" s="467">
        <f>IFERROR(J14*H14/10,0)</f>
        <v>0</v>
      </c>
      <c r="J14" s="73">
        <f>IFERROR(J13*K14/(K15+K14),0)</f>
        <v>25</v>
      </c>
      <c r="K14" s="1">
        <f>VLOOKUP(D14,$C$102:$E$106,3,FALSE)</f>
        <v>1</v>
      </c>
      <c r="L14" s="1">
        <f>VLOOKUP(O14,$C$102:$E$106,3,FALSE)</f>
        <v>1</v>
      </c>
      <c r="M14" s="1">
        <f>VLOOKUP(D14,$C$102:$E$106,3,FALSE)</f>
        <v>1</v>
      </c>
      <c r="N14" s="66" t="str">
        <f>IF(L14=M14,"",'12.lan'!$D$240&amp;VLOOKUP(L14,$C$102:$D$106,2,FALSE)&amp;" ("&amp;L14&amp;")")</f>
        <v/>
      </c>
      <c r="O14" s="1">
        <f>C104</f>
        <v>1</v>
      </c>
    </row>
    <row r="15" spans="1:15" ht="34.5" customHeight="1">
      <c r="A15" s="2"/>
      <c r="B15" s="67" t="s">
        <v>18</v>
      </c>
      <c r="C15" s="67" t="str">
        <f>'12.lan'!D114</f>
        <v>Positive Einflussnahme auf Solidarität und Gerechtigkeit in der gesamten Zulieferkette</v>
      </c>
      <c r="D15" s="68">
        <f>C104</f>
        <v>1</v>
      </c>
      <c r="E15" s="69" t="str">
        <f>VLOOKUP(D15,$C$102:$D$106,2,FALSE)</f>
        <v>mittel</v>
      </c>
      <c r="F15" s="70" t="str">
        <f>'12.lan'!$D$329</f>
        <v>Skalenwert eingeben: Wert muss im Bereich von 0 bis 10 liegen.</v>
      </c>
      <c r="G15" s="71"/>
      <c r="H15" s="72">
        <v>0</v>
      </c>
      <c r="I15" s="467">
        <f>IFERROR(J15*H15/10,0)</f>
        <v>0</v>
      </c>
      <c r="J15" s="73">
        <f>IFERROR(J13*K15/(K14+K15),0)</f>
        <v>25</v>
      </c>
      <c r="K15" s="1">
        <f>VLOOKUP(D15,$C$102:$E$106,3,FALSE)</f>
        <v>1</v>
      </c>
      <c r="L15" s="1">
        <f>VLOOKUP(O15,$C$102:$E$106,3,FALSE)</f>
        <v>1</v>
      </c>
      <c r="M15" s="1">
        <f>VLOOKUP(D15,$C$102:$E$106,3,FALSE)</f>
        <v>1</v>
      </c>
      <c r="N15" s="66" t="str">
        <f>IF(L15=M15,"",'12.lan'!$D$240&amp;VLOOKUP(L15,$C$102:$D$106,2,FALSE)&amp;" ("&amp;L15&amp;")")</f>
        <v/>
      </c>
      <c r="O15" s="1">
        <f>C104</f>
        <v>1</v>
      </c>
    </row>
    <row r="16" spans="1:15" ht="33" customHeight="1">
      <c r="A16" s="2"/>
      <c r="B16" s="67" t="s">
        <v>19</v>
      </c>
      <c r="C16" s="67" t="str">
        <f>'12.lan'!D115</f>
        <v>Negativ-Aspekt: Ausnutzung der Marktmacht gegenüber Lieferant*innen</v>
      </c>
      <c r="D16" s="68"/>
      <c r="E16" s="69"/>
      <c r="F16" s="70" t="str">
        <f>'12.lan'!$D$330</f>
        <v>Negativpunkte eingeben: Werte müssen im Bereich von -200 bis 0 liegen.</v>
      </c>
      <c r="G16" s="71"/>
      <c r="H16" s="72">
        <v>0</v>
      </c>
      <c r="I16" s="467">
        <f>H16*J13/50</f>
        <v>0</v>
      </c>
      <c r="J16" s="73">
        <f>-200*J13/50</f>
        <v>-200</v>
      </c>
    </row>
    <row r="17" spans="1:15" ht="33" customHeight="1">
      <c r="A17" s="2"/>
      <c r="B17" s="59" t="s">
        <v>20</v>
      </c>
      <c r="C17" s="60" t="str">
        <f>'12.lan'!D116</f>
        <v>Ökologische Nachhaltigkeit in der Zulieferkette</v>
      </c>
      <c r="D17" s="61">
        <f>IF(K17="trifft nicht zu",C106,'9. Weighting'!O16)</f>
        <v>1</v>
      </c>
      <c r="E17" s="62" t="str">
        <f>VLOOKUP(D17,$C$102:$D$106,2,FALSE)</f>
        <v>mittel</v>
      </c>
      <c r="F17" s="74">
        <f>IF(K17="trifft nicht zu","trifft nicht zu",'9. Weighting'!O16)</f>
        <v>1</v>
      </c>
      <c r="G17" s="75"/>
      <c r="H17" s="64">
        <f>IF(J17&lt;&gt;0,SUM(I18:I19)/J17,"-")</f>
        <v>0</v>
      </c>
      <c r="I17" s="65">
        <f>IF(J17=0,0,H17*J17)</f>
        <v>0</v>
      </c>
      <c r="J17" s="65">
        <f>'9. Weighting'!O15</f>
        <v>50</v>
      </c>
      <c r="K17" s="1" t="str">
        <f>IF(D18="trifft nicht zu","trifft nicht zu","")</f>
        <v/>
      </c>
      <c r="L17" s="1">
        <f>VLOOKUP(O17,$C$102:$E$106,3,FALSE)</f>
        <v>1</v>
      </c>
      <c r="M17" s="1">
        <f>VLOOKUP(D17,$C$102:$E$106,3,FALSE)</f>
        <v>1</v>
      </c>
      <c r="N17" s="66" t="str">
        <f>IF(L17=M17,"",'12.lan'!$D$240&amp;VLOOKUP(L17,$C$102:$D$106,2,FALSE)&amp;" ("&amp;L17&amp;")")</f>
        <v/>
      </c>
      <c r="O17" s="1">
        <f>IF(K17="trifft nicht zu",C106,'9. Weighting'!O16)</f>
        <v>1</v>
      </c>
    </row>
    <row r="18" spans="1:15" ht="30" customHeight="1">
      <c r="A18" s="2"/>
      <c r="B18" s="67" t="s">
        <v>21</v>
      </c>
      <c r="C18" s="67" t="str">
        <f>'12.lan'!D117</f>
        <v>Umweltauswirkungen in der Zulieferkette</v>
      </c>
      <c r="D18" s="68"/>
      <c r="E18" s="69"/>
      <c r="F18" s="70" t="str">
        <f>'12.lan'!$D$329</f>
        <v>Skalenwert eingeben: Wert muss im Bereich von 0 bis 10 liegen.</v>
      </c>
      <c r="G18" s="71"/>
      <c r="H18" s="72">
        <v>0</v>
      </c>
      <c r="I18" s="467">
        <f>J18*H18/10</f>
        <v>0</v>
      </c>
      <c r="J18" s="73">
        <f>J17*K18/K18</f>
        <v>50</v>
      </c>
      <c r="K18" s="1">
        <v>1</v>
      </c>
      <c r="N18" s="66" t="str">
        <f>IF(L18=M18,"",'12.lan'!$D$240&amp;VLOOKUP(L18,$C$102:$D$106,2,FALSE)&amp;" ("&amp;L18&amp;")")</f>
        <v/>
      </c>
    </row>
    <row r="19" spans="1:15" ht="33" customHeight="1">
      <c r="A19" s="2"/>
      <c r="B19" s="67" t="s">
        <v>22</v>
      </c>
      <c r="C19" s="67" t="str">
        <f>'12.lan'!D118</f>
        <v>Negativ-Aspekt:Unverhältnismäßig hohe Umweltauswirkungen in der Zulieferkette</v>
      </c>
      <c r="D19" s="68"/>
      <c r="E19" s="69"/>
      <c r="F19" s="70" t="str">
        <f>'12.lan'!$D$330</f>
        <v>Negativpunkte eingeben: Werte müssen im Bereich von -200 bis 0 liegen.</v>
      </c>
      <c r="G19" s="71"/>
      <c r="H19" s="72">
        <v>0</v>
      </c>
      <c r="I19" s="467">
        <f>H19*J17/50</f>
        <v>0</v>
      </c>
      <c r="J19" s="73">
        <f>-200*J17/50</f>
        <v>-200</v>
      </c>
    </row>
    <row r="20" spans="1:15" ht="33" customHeight="1">
      <c r="A20" s="2"/>
      <c r="B20" s="59" t="s">
        <v>23</v>
      </c>
      <c r="C20" s="60" t="str">
        <f>'12.lan'!D119</f>
        <v>Transparenz und Mitentscheidung in der Zulieferkette</v>
      </c>
      <c r="D20" s="61">
        <f>IF(K20="trifft nicht zu",C106,'9. Weighting'!P16)</f>
        <v>1</v>
      </c>
      <c r="E20" s="62" t="str">
        <f t="shared" ref="E20:E28" si="0">VLOOKUP(D20,$C$102:$D$106,2,FALSE)</f>
        <v>mittel</v>
      </c>
      <c r="F20" s="74">
        <f>IF(K20="trifft nicht zu","trifft nicht zu",'9. Weighting'!P16)</f>
        <v>1</v>
      </c>
      <c r="G20" s="75"/>
      <c r="H20" s="64">
        <f>IF(J20&lt;&gt;0,SUM(I21:I22)/J20,"-")</f>
        <v>0</v>
      </c>
      <c r="I20" s="65">
        <f>IF(J20=0,0,H20*J20)</f>
        <v>0</v>
      </c>
      <c r="J20" s="65">
        <f>'9. Weighting'!P15</f>
        <v>50</v>
      </c>
      <c r="K20" s="1" t="str">
        <f>IF(AND(D21="trifft nicht zu",D22="trifft nicht zu"),"trifft nicht zu","")</f>
        <v/>
      </c>
      <c r="L20" s="1">
        <f>VLOOKUP(O20,$C$102:$E$106,3,FALSE)</f>
        <v>1</v>
      </c>
      <c r="M20" s="1">
        <f>VLOOKUP(D20,$C$102:$E$106,3,FALSE)</f>
        <v>1</v>
      </c>
      <c r="N20" s="66" t="str">
        <f>IF(L20=M20,"",'12.lan'!$D$240&amp;VLOOKUP(L20,$C$102:$D$106,2,FALSE)&amp;" ("&amp;L20&amp;")")</f>
        <v/>
      </c>
      <c r="O20" s="1">
        <f>IF(K20="trifft nicht zu",C106,'9. Weighting'!P16)</f>
        <v>1</v>
      </c>
    </row>
    <row r="21" spans="1:15" ht="36.75" customHeight="1">
      <c r="A21" s="2"/>
      <c r="B21" s="67" t="s">
        <v>24</v>
      </c>
      <c r="C21" s="67" t="str">
        <f>'12.lan'!D120</f>
        <v>Transparenz und Mitentscheidungsrechte für Lieferant*innen</v>
      </c>
      <c r="D21" s="68">
        <f>C104</f>
        <v>1</v>
      </c>
      <c r="E21" s="69" t="str">
        <f t="shared" si="0"/>
        <v>mittel</v>
      </c>
      <c r="F21" s="70" t="str">
        <f>'12.lan'!$D$329</f>
        <v>Skalenwert eingeben: Wert muss im Bereich von 0 bis 10 liegen.</v>
      </c>
      <c r="G21" s="71"/>
      <c r="H21" s="72">
        <v>0</v>
      </c>
      <c r="I21" s="467">
        <f>IFERROR(J21*H21/10,0)</f>
        <v>0</v>
      </c>
      <c r="J21" s="73">
        <f>IFERROR(J20*K21/(K22+K21),0)</f>
        <v>25</v>
      </c>
      <c r="K21" s="1">
        <f>VLOOKUP(D21,$C$102:$E$106,3,FALSE)</f>
        <v>1</v>
      </c>
      <c r="L21" s="1">
        <f>VLOOKUP(O21,$C$102:$E$106,3,FALSE)</f>
        <v>1</v>
      </c>
      <c r="M21" s="1">
        <f>VLOOKUP(D21,$C$102:$E$106,3,FALSE)</f>
        <v>1</v>
      </c>
      <c r="N21" s="66" t="str">
        <f>IF(L21=M21,"",'12.lan'!$D$240&amp;VLOOKUP(L21,$C$102:$D$106,2,FALSE)&amp;" ("&amp;L21&amp;")")</f>
        <v/>
      </c>
      <c r="O21" s="1">
        <f>C104</f>
        <v>1</v>
      </c>
    </row>
    <row r="22" spans="1:15" ht="40.5" customHeight="1">
      <c r="A22" s="2"/>
      <c r="B22" s="67" t="s">
        <v>25</v>
      </c>
      <c r="C22" s="67" t="str">
        <f>'12.lan'!D121</f>
        <v>Positive Einflussnahme auf Transparenz und Mitentscheidung in der gesamten Zulieferkette</v>
      </c>
      <c r="D22" s="68">
        <f>C104</f>
        <v>1</v>
      </c>
      <c r="E22" s="69" t="str">
        <f t="shared" si="0"/>
        <v>mittel</v>
      </c>
      <c r="F22" s="70" t="str">
        <f>'12.lan'!$D$329</f>
        <v>Skalenwert eingeben: Wert muss im Bereich von 0 bis 10 liegen.</v>
      </c>
      <c r="G22" s="71"/>
      <c r="H22" s="72">
        <v>0</v>
      </c>
      <c r="I22" s="467">
        <f>IFERROR(J22*H22/10,0)</f>
        <v>0</v>
      </c>
      <c r="J22" s="73">
        <f>IFERROR(J20*K22/(K21+K22),0)</f>
        <v>25</v>
      </c>
      <c r="K22" s="1">
        <f>VLOOKUP(D22,$C$102:$E$106,3,FALSE)</f>
        <v>1</v>
      </c>
      <c r="L22" s="1">
        <f>VLOOKUP(O22,$C$102:$E$106,3,FALSE)</f>
        <v>1</v>
      </c>
      <c r="M22" s="1">
        <f>VLOOKUP(D22,$C$102:$E$106,3,FALSE)</f>
        <v>1</v>
      </c>
      <c r="N22" s="66" t="str">
        <f>IF(L22=M22,"",'12.lan'!$D$240&amp;VLOOKUP(L22,$C$102:$D$106,2,FALSE)&amp;" ("&amp;L22&amp;")")</f>
        <v/>
      </c>
      <c r="O22" s="1">
        <f>C104</f>
        <v>1</v>
      </c>
    </row>
    <row r="23" spans="1:15" ht="36" customHeight="1">
      <c r="A23" s="2"/>
      <c r="B23" s="55" t="s">
        <v>26</v>
      </c>
      <c r="C23" s="55" t="str">
        <f>'12.lan'!D122</f>
        <v>Eigentümer*innen und Finanzpartner*innen</v>
      </c>
      <c r="D23" s="76">
        <f>L23</f>
        <v>1</v>
      </c>
      <c r="E23" s="455" t="str">
        <f t="shared" si="0"/>
        <v>mittel</v>
      </c>
      <c r="F23" s="77"/>
      <c r="G23" s="77"/>
      <c r="H23" s="56">
        <f>IFERROR(I23/J23,0)</f>
        <v>0</v>
      </c>
      <c r="I23" s="57">
        <f>I24+I28+I31+I35</f>
        <v>0</v>
      </c>
      <c r="J23" s="57">
        <f>J24+J28+J31+J35</f>
        <v>200</v>
      </c>
      <c r="L23" s="1">
        <f>'9. Weighting'!K50</f>
        <v>1</v>
      </c>
      <c r="N23" s="452" t="str">
        <f>IF(D23&lt;&gt;L23,'12.lan'!$D$240&amp;VLOOKUP(L23,$C$102:$D$106,2,FALSE)&amp;" ("&amp;L23&amp;")","")</f>
        <v/>
      </c>
    </row>
    <row r="24" spans="1:15" ht="33" customHeight="1">
      <c r="A24" s="2"/>
      <c r="B24" s="59" t="s">
        <v>27</v>
      </c>
      <c r="C24" s="60" t="str">
        <f>'12.lan'!D123</f>
        <v>Ethische Haltung im Umgang mit Geldmitteln</v>
      </c>
      <c r="D24" s="61">
        <f>IF(K24="trifft nicht zu",C106,'9. Weighting'!M24)</f>
        <v>1</v>
      </c>
      <c r="E24" s="78" t="str">
        <f t="shared" si="0"/>
        <v>mittel</v>
      </c>
      <c r="F24" s="74">
        <f>IF(K24="trifft nicht zu","trifft nicht zu",'9. Weighting'!M24)</f>
        <v>1</v>
      </c>
      <c r="G24" s="75"/>
      <c r="H24" s="64">
        <f>IF(J24&lt;&gt;0,SUM(I25:I27)/J24,"-")</f>
        <v>0</v>
      </c>
      <c r="I24" s="65">
        <f>IF(J24=0,0,H24*J24)</f>
        <v>0</v>
      </c>
      <c r="J24" s="65">
        <f>'9. Weighting'!M23</f>
        <v>50</v>
      </c>
      <c r="K24" s="1" t="str">
        <f>IF(AND(D25="trifft nicht zu",D26="trifft nicht zu",,D27="trifft nicht zu"),"trifft nicht zu","")</f>
        <v/>
      </c>
      <c r="L24" s="1">
        <f t="shared" ref="L24:L29" si="1">VLOOKUP(O24,$C$102:$E$106,3,FALSE)</f>
        <v>1</v>
      </c>
      <c r="M24" s="1">
        <f t="shared" ref="M24:M29" si="2">VLOOKUP(D24,$C$102:$E$106,3,FALSE)</f>
        <v>1</v>
      </c>
      <c r="N24" s="66" t="str">
        <f>IF(L24=M24,"",'12.lan'!$D$240&amp;VLOOKUP(L24,$C$102:$D$106,2,FALSE)&amp;" ("&amp;L24&amp;")")</f>
        <v/>
      </c>
      <c r="O24" s="1">
        <f>IF(K24="trifft nicht zu",C106,'9. Weighting'!M24)</f>
        <v>1</v>
      </c>
    </row>
    <row r="25" spans="1:15" ht="30" customHeight="1">
      <c r="A25" s="2"/>
      <c r="B25" s="79" t="s">
        <v>28</v>
      </c>
      <c r="C25" s="67" t="str">
        <f>'12.lan'!D124</f>
        <v>Finanzielle Unabhängigkeit durch Eigenfinanzierung</v>
      </c>
      <c r="D25" s="68">
        <f>C104</f>
        <v>1</v>
      </c>
      <c r="E25" s="80" t="str">
        <f t="shared" si="0"/>
        <v>mittel</v>
      </c>
      <c r="F25" s="70" t="str">
        <f>'12.lan'!$D$329</f>
        <v>Skalenwert eingeben: Wert muss im Bereich von 0 bis 10 liegen.</v>
      </c>
      <c r="G25" s="71"/>
      <c r="H25" s="72">
        <v>0</v>
      </c>
      <c r="I25" s="467">
        <f>IFERROR(J25*H25/10,0)</f>
        <v>0</v>
      </c>
      <c r="J25" s="73">
        <f>IFERROR($J$24*K25/($K$27+$K$26+$K$25),0)</f>
        <v>16.666666666666668</v>
      </c>
      <c r="K25" s="1">
        <f>VLOOKUP(D25,$C$102:$E$106,3,FALSE)</f>
        <v>1</v>
      </c>
      <c r="L25" s="1">
        <f t="shared" si="1"/>
        <v>1</v>
      </c>
      <c r="M25" s="1">
        <f t="shared" si="2"/>
        <v>1</v>
      </c>
      <c r="N25" s="66" t="str">
        <f>IF(L25=M25,"",'12.lan'!$D$240&amp;VLOOKUP(L25,$C$102:$D$106,2,FALSE)&amp;" ("&amp;L25&amp;")")</f>
        <v/>
      </c>
      <c r="O25" s="1">
        <f>C104</f>
        <v>1</v>
      </c>
    </row>
    <row r="26" spans="1:15" ht="30" customHeight="1">
      <c r="A26" s="2"/>
      <c r="B26" s="15" t="s">
        <v>29</v>
      </c>
      <c r="C26" s="23" t="str">
        <f>'12.lan'!D125</f>
        <v>Gemeinwohlorientierte Fremdfinanzierung</v>
      </c>
      <c r="D26" s="68">
        <f>C104</f>
        <v>1</v>
      </c>
      <c r="E26" s="80" t="str">
        <f t="shared" si="0"/>
        <v>mittel</v>
      </c>
      <c r="F26" s="70" t="str">
        <f>'12.lan'!$D$329</f>
        <v>Skalenwert eingeben: Wert muss im Bereich von 0 bis 10 liegen.</v>
      </c>
      <c r="G26" s="71"/>
      <c r="H26" s="72">
        <v>0</v>
      </c>
      <c r="I26" s="467">
        <f>IFERROR(J26*H26/10,0)</f>
        <v>0</v>
      </c>
      <c r="J26" s="73">
        <f>IFERROR($J$24*K26/($K$27+$K$26+$K$25),0)</f>
        <v>16.666666666666668</v>
      </c>
      <c r="K26" s="1">
        <f>VLOOKUP(D26,$C$102:$E$106,3,FALSE)</f>
        <v>1</v>
      </c>
      <c r="L26" s="1">
        <f t="shared" si="1"/>
        <v>1</v>
      </c>
      <c r="M26" s="1">
        <f t="shared" si="2"/>
        <v>1</v>
      </c>
      <c r="N26" s="66" t="str">
        <f>IF(L26=M26,"",'12.lan'!$D$240&amp;VLOOKUP(L26,$C$102:$D$106,2,FALSE)&amp;" ("&amp;L26&amp;")")</f>
        <v/>
      </c>
      <c r="O26" s="1">
        <f>C104</f>
        <v>1</v>
      </c>
    </row>
    <row r="27" spans="1:15" ht="30" customHeight="1">
      <c r="A27" s="2"/>
      <c r="B27" s="15" t="s">
        <v>30</v>
      </c>
      <c r="C27" s="23" t="str">
        <f>'12.lan'!D126</f>
        <v>Ethische Haltung externer Finanzpartner*innen</v>
      </c>
      <c r="D27" s="68">
        <f>C104</f>
        <v>1</v>
      </c>
      <c r="E27" s="80" t="str">
        <f t="shared" si="0"/>
        <v>mittel</v>
      </c>
      <c r="F27" s="70" t="str">
        <f>'12.lan'!$D$329</f>
        <v>Skalenwert eingeben: Wert muss im Bereich von 0 bis 10 liegen.</v>
      </c>
      <c r="G27" s="71"/>
      <c r="H27" s="72">
        <v>0</v>
      </c>
      <c r="I27" s="467">
        <f>IFERROR(J27*H27/10,0)</f>
        <v>0</v>
      </c>
      <c r="J27" s="73">
        <f>IFERROR($J$24*K27/($K$27+$K$26+$K$25),0)</f>
        <v>16.666666666666668</v>
      </c>
      <c r="K27" s="1">
        <f>VLOOKUP(D27,$C$102:$E$106,3,FALSE)</f>
        <v>1</v>
      </c>
      <c r="L27" s="1">
        <f t="shared" si="1"/>
        <v>1</v>
      </c>
      <c r="M27" s="1">
        <f t="shared" si="2"/>
        <v>1</v>
      </c>
      <c r="N27" s="66" t="str">
        <f>IF(L27=M27,"",'12.lan'!$D$240&amp;VLOOKUP(L27,$C$102:$D$106,2,FALSE)&amp;" ("&amp;L27&amp;")")</f>
        <v/>
      </c>
      <c r="O27" s="1">
        <f>C104</f>
        <v>1</v>
      </c>
    </row>
    <row r="28" spans="1:15" ht="33" customHeight="1">
      <c r="A28" s="2"/>
      <c r="B28" s="59" t="s">
        <v>31</v>
      </c>
      <c r="C28" s="60" t="str">
        <f>'12.lan'!D127</f>
        <v>Soziale Haltung im Umgang mit Geldmitteln</v>
      </c>
      <c r="D28" s="61">
        <f>IF(K28="trifft nicht zu",C106,'9. Weighting'!N24)</f>
        <v>1</v>
      </c>
      <c r="E28" s="78" t="str">
        <f t="shared" si="0"/>
        <v>mittel</v>
      </c>
      <c r="F28" s="74">
        <f>IF(K28="trifft nicht zu","trifft nicht zu",'9. Weighting'!N24)</f>
        <v>1</v>
      </c>
      <c r="G28" s="75"/>
      <c r="H28" s="64">
        <f>IF(J28&lt;&gt;0,SUM(I29:I30)/J28,"-")</f>
        <v>0</v>
      </c>
      <c r="I28" s="65">
        <f>IF(J28=0,0,H28*J28)</f>
        <v>0</v>
      </c>
      <c r="J28" s="65">
        <f>'9. Weighting'!N23</f>
        <v>50</v>
      </c>
      <c r="L28" s="1">
        <f t="shared" si="1"/>
        <v>1</v>
      </c>
      <c r="M28" s="1">
        <f t="shared" si="2"/>
        <v>1</v>
      </c>
      <c r="N28" s="66" t="str">
        <f>IF(L28=M28,"",'12.lan'!$D$240&amp;VLOOKUP(L28,$C$102:$D$106,2,FALSE)&amp;" ("&amp;L28&amp;")")</f>
        <v/>
      </c>
      <c r="O28" s="1">
        <f>IF(K28="trifft nicht zu",C106,'9. Weighting'!N24)</f>
        <v>1</v>
      </c>
    </row>
    <row r="29" spans="1:15" ht="30" customHeight="1">
      <c r="A29" s="2"/>
      <c r="B29" s="79" t="s">
        <v>32</v>
      </c>
      <c r="C29" s="67" t="str">
        <f>'12.lan'!D128</f>
        <v>Solidarische und gemeinwohlorientierte Mittelverwendung</v>
      </c>
      <c r="D29" s="81"/>
      <c r="E29" s="456"/>
      <c r="F29" s="70" t="str">
        <f>'12.lan'!$D$329</f>
        <v>Skalenwert eingeben: Wert muss im Bereich von 0 bis 10 liegen.</v>
      </c>
      <c r="G29" s="71"/>
      <c r="H29" s="72">
        <v>0</v>
      </c>
      <c r="I29" s="467">
        <f>J29*H29/10</f>
        <v>0</v>
      </c>
      <c r="J29" s="73">
        <f>$J$28*K29/(K29)</f>
        <v>50</v>
      </c>
      <c r="K29" s="1">
        <v>1</v>
      </c>
      <c r="L29" s="1">
        <f t="shared" si="1"/>
        <v>0</v>
      </c>
      <c r="M29" s="1">
        <f t="shared" si="2"/>
        <v>0</v>
      </c>
      <c r="N29" s="66"/>
    </row>
    <row r="30" spans="1:15" ht="30" customHeight="1">
      <c r="A30" s="2"/>
      <c r="B30" s="15" t="s">
        <v>33</v>
      </c>
      <c r="C30" s="23" t="str">
        <f>'12.lan'!D129</f>
        <v>Negativ-Aspekt: Unfaire Verteilung von Geldmittel</v>
      </c>
      <c r="D30" s="82"/>
      <c r="E30" s="80"/>
      <c r="F30" s="70" t="str">
        <f>'12.lan'!$D$330</f>
        <v>Negativpunkte eingeben: Werte müssen im Bereich von -200 bis 0 liegen.</v>
      </c>
      <c r="G30" s="71"/>
      <c r="H30" s="72">
        <v>0</v>
      </c>
      <c r="I30" s="467">
        <f>H30*J28/50</f>
        <v>0</v>
      </c>
      <c r="J30" s="73">
        <f>-200*J28/50</f>
        <v>-200</v>
      </c>
    </row>
    <row r="31" spans="1:15" ht="33" customHeight="1">
      <c r="A31" s="2"/>
      <c r="B31" s="59" t="s">
        <v>34</v>
      </c>
      <c r="C31" s="60" t="str">
        <f>'12.lan'!D130</f>
        <v>Sozial-ökologische Investitionen und Mittelverwendung</v>
      </c>
      <c r="D31" s="61">
        <f>IF(K31="trifft nicht zu",C106,'9. Weighting'!O24)</f>
        <v>1</v>
      </c>
      <c r="E31" s="78" t="str">
        <f>VLOOKUP(D31,$C$102:$D$106,2,FALSE)</f>
        <v>mittel</v>
      </c>
      <c r="F31" s="74">
        <f>IF(K31="trifft nicht zu","trifft nicht zu",'9. Weighting'!O24)</f>
        <v>1</v>
      </c>
      <c r="G31" s="75"/>
      <c r="H31" s="64">
        <f>IF(J31&lt;&gt;0,SUM(I32:I34)/J31,"-")</f>
        <v>0</v>
      </c>
      <c r="I31" s="65">
        <f>IF(J31=0,0,H31*J31)</f>
        <v>0</v>
      </c>
      <c r="J31" s="65">
        <f>'9. Weighting'!O23</f>
        <v>50</v>
      </c>
      <c r="K31" s="1" t="str">
        <f>IF(AND(D32="trifft nicht zu",D33="trifft nicht zu"),"trifft nicht zu","")</f>
        <v/>
      </c>
      <c r="L31" s="1">
        <f>VLOOKUP(O31,$C$102:$E$106,3,FALSE)</f>
        <v>1</v>
      </c>
      <c r="M31" s="1">
        <f>VLOOKUP(D31,$C$102:$E$106,3,FALSE)</f>
        <v>1</v>
      </c>
      <c r="N31" s="66" t="str">
        <f>IF(L31=M31,"",'12.lan'!$D$240&amp;VLOOKUP(L31,$C$102:$D$106,2,FALSE)&amp;" ("&amp;L31&amp;")")</f>
        <v/>
      </c>
      <c r="O31" s="1">
        <f>IF(K31="trifft nicht zu",C106,'9. Weighting'!O24)</f>
        <v>1</v>
      </c>
    </row>
    <row r="32" spans="1:15" ht="30" customHeight="1">
      <c r="A32" s="2"/>
      <c r="B32" s="79" t="s">
        <v>35</v>
      </c>
      <c r="C32" s="67" t="str">
        <f>'12.lan'!D131</f>
        <v>Ökologische Qualität der Investitionen</v>
      </c>
      <c r="D32" s="68">
        <f>C104</f>
        <v>1</v>
      </c>
      <c r="E32" s="80" t="str">
        <f>VLOOKUP(D32,$C$102:$D$106,2,FALSE)</f>
        <v>mittel</v>
      </c>
      <c r="F32" s="70" t="str">
        <f>'12.lan'!$D$329</f>
        <v>Skalenwert eingeben: Wert muss im Bereich von 0 bis 10 liegen.</v>
      </c>
      <c r="G32" s="71"/>
      <c r="H32" s="72">
        <v>0</v>
      </c>
      <c r="I32" s="467">
        <f>IFERROR(J32*H32/10,0)</f>
        <v>0</v>
      </c>
      <c r="J32" s="73">
        <f>IFERROR($J$31*K32/($K$32+$K$33),0)</f>
        <v>25</v>
      </c>
      <c r="K32" s="1">
        <f>VLOOKUP(D32,$C$102:$E$106,3,FALSE)</f>
        <v>1</v>
      </c>
      <c r="L32" s="1">
        <f>VLOOKUP(O32,$C$102:$E$106,3,FALSE)</f>
        <v>1</v>
      </c>
      <c r="M32" s="1">
        <f>VLOOKUP(D32,$C$102:$E$106,3,FALSE)</f>
        <v>1</v>
      </c>
      <c r="N32" s="66" t="str">
        <f>IF(L32=M32,"",'12.lan'!$D$240&amp;VLOOKUP(L32,$C$102:$D$106,2,FALSE)&amp;" ("&amp;L32&amp;")")</f>
        <v/>
      </c>
      <c r="O32" s="1">
        <f>C104</f>
        <v>1</v>
      </c>
    </row>
    <row r="33" spans="1:15" ht="30" customHeight="1">
      <c r="A33" s="2"/>
      <c r="B33" s="15" t="s">
        <v>36</v>
      </c>
      <c r="C33" s="23" t="str">
        <f>'12.lan'!D132</f>
        <v>Gemeinwohlorientierte Veranlagung</v>
      </c>
      <c r="D33" s="68">
        <f>C104</f>
        <v>1</v>
      </c>
      <c r="E33" s="80" t="str">
        <f>VLOOKUP(D33,$C$102:$D$106,2,FALSE)</f>
        <v>mittel</v>
      </c>
      <c r="F33" s="70" t="str">
        <f>'12.lan'!$D$329</f>
        <v>Skalenwert eingeben: Wert muss im Bereich von 0 bis 10 liegen.</v>
      </c>
      <c r="G33" s="71"/>
      <c r="H33" s="72">
        <v>0</v>
      </c>
      <c r="I33" s="467">
        <f>IFERROR(J33*H33/10,0)</f>
        <v>0</v>
      </c>
      <c r="J33" s="73">
        <f>IFERROR($J$31*K33/($K$32+$K$33),0)</f>
        <v>25</v>
      </c>
      <c r="K33" s="1">
        <f>VLOOKUP(D33,$C$102:$E$106,3,FALSE)</f>
        <v>1</v>
      </c>
      <c r="L33" s="1">
        <f>VLOOKUP(O33,$C$102:$E$106,3,FALSE)</f>
        <v>1</v>
      </c>
      <c r="M33" s="1">
        <f>VLOOKUP(D33,$C$102:$E$106,3,FALSE)</f>
        <v>1</v>
      </c>
      <c r="N33" s="66" t="str">
        <f>IF(L33=M33,"",'12.lan'!$D$240&amp;VLOOKUP(L33,$C$102:$D$106,2,FALSE)&amp;" ("&amp;L33&amp;")")</f>
        <v/>
      </c>
      <c r="O33" s="1">
        <f>C104</f>
        <v>1</v>
      </c>
    </row>
    <row r="34" spans="1:15" ht="30" customHeight="1">
      <c r="A34" s="2"/>
      <c r="B34" s="15" t="s">
        <v>37</v>
      </c>
      <c r="C34" s="23" t="str">
        <f>'12.lan'!D133</f>
        <v>Negativ-Aspekt: Abhängigkeit von ökologisch bedenklichen Ressourcen</v>
      </c>
      <c r="D34" s="68"/>
      <c r="E34" s="80"/>
      <c r="F34" s="70" t="str">
        <f>'12.lan'!$D$330</f>
        <v>Negativpunkte eingeben: Werte müssen im Bereich von -200 bis 0 liegen.</v>
      </c>
      <c r="G34" s="71"/>
      <c r="H34" s="72">
        <v>0</v>
      </c>
      <c r="I34" s="467">
        <f>H34*J31/50</f>
        <v>0</v>
      </c>
      <c r="J34" s="73">
        <f>-200*J31/50</f>
        <v>-200</v>
      </c>
    </row>
    <row r="35" spans="1:15" ht="33" customHeight="1">
      <c r="A35" s="2"/>
      <c r="B35" s="59" t="s">
        <v>38</v>
      </c>
      <c r="C35" s="60" t="str">
        <f>'12.lan'!D134</f>
        <v>Eigentum und Mitentscheidung</v>
      </c>
      <c r="D35" s="61">
        <f>IF(K35="trifft nicht zu",C106,'9. Weighting'!P24)</f>
        <v>1</v>
      </c>
      <c r="E35" s="78" t="str">
        <f>VLOOKUP(D35,$C$102:$D$106,2,FALSE)</f>
        <v>mittel</v>
      </c>
      <c r="F35" s="74">
        <f>IF(K35="trifft nicht zu","trifft nicht zu",'9. Weighting'!P24)</f>
        <v>1</v>
      </c>
      <c r="G35" s="75"/>
      <c r="H35" s="64">
        <f>IF(J35&lt;&gt;0,SUM(I36:I37)/J35,"-")</f>
        <v>0</v>
      </c>
      <c r="I35" s="65">
        <f>IF(J35=0,0,H35*J35)</f>
        <v>0</v>
      </c>
      <c r="J35" s="65">
        <f>'9. Weighting'!P23</f>
        <v>50</v>
      </c>
      <c r="L35" s="1">
        <f>VLOOKUP(O35,$C$102:$E$106,3,FALSE)</f>
        <v>1</v>
      </c>
      <c r="M35" s="1">
        <f>VLOOKUP(D35,$C$102:$E$106,3,FALSE)</f>
        <v>1</v>
      </c>
      <c r="N35" s="66" t="str">
        <f>IF(L35=M35,"",'12.lan'!$D$240&amp;VLOOKUP(L35,$C$102:$D$106,2,FALSE)&amp;" ("&amp;L35&amp;")")</f>
        <v/>
      </c>
      <c r="O35" s="1">
        <f>IF(K35="trifft nicht zu",C106,'9. Weighting'!P24)</f>
        <v>1</v>
      </c>
    </row>
    <row r="36" spans="1:15" ht="30" customHeight="1">
      <c r="A36" s="2"/>
      <c r="B36" s="79" t="s">
        <v>39</v>
      </c>
      <c r="C36" s="67" t="str">
        <f>'12.lan'!D135</f>
        <v>Gemeinwohlorientierte Eigentumsstruktur</v>
      </c>
      <c r="D36" s="68"/>
      <c r="E36" s="80"/>
      <c r="F36" s="70" t="str">
        <f>'12.lan'!$D$329</f>
        <v>Skalenwert eingeben: Wert muss im Bereich von 0 bis 10 liegen.</v>
      </c>
      <c r="G36" s="71"/>
      <c r="H36" s="72">
        <v>0</v>
      </c>
      <c r="I36" s="467">
        <f>J36*H36/10</f>
        <v>0</v>
      </c>
      <c r="J36" s="73">
        <f>$J$35*K36/(K36)</f>
        <v>50</v>
      </c>
      <c r="K36" s="1">
        <v>1</v>
      </c>
    </row>
    <row r="37" spans="1:15" ht="30" customHeight="1">
      <c r="A37" s="2"/>
      <c r="B37" s="15" t="s">
        <v>40</v>
      </c>
      <c r="C37" s="23" t="str">
        <f>'12.lan'!D136</f>
        <v>Negativ-Aspekt: Feindliche Übernahme</v>
      </c>
      <c r="D37" s="68"/>
      <c r="E37" s="80"/>
      <c r="F37" s="70" t="str">
        <f>'12.lan'!$D$330</f>
        <v>Negativpunkte eingeben: Werte müssen im Bereich von -200 bis 0 liegen.</v>
      </c>
      <c r="G37" s="71"/>
      <c r="H37" s="72">
        <v>0</v>
      </c>
      <c r="I37" s="467">
        <f>H37*J35/50</f>
        <v>0</v>
      </c>
      <c r="J37" s="73">
        <f>-200*J35/50</f>
        <v>-200</v>
      </c>
    </row>
    <row r="38" spans="1:15" ht="36" customHeight="1">
      <c r="A38" s="2"/>
      <c r="B38" s="55" t="s">
        <v>41</v>
      </c>
      <c r="C38" s="55" t="str">
        <f>'12.lan'!D137</f>
        <v>Mitarbeitende</v>
      </c>
      <c r="D38" s="76">
        <f>L38</f>
        <v>1</v>
      </c>
      <c r="E38" s="455" t="str">
        <f>VLOOKUP(D38,$C$102:$D$106,2,FALSE)</f>
        <v>mittel</v>
      </c>
      <c r="F38" s="77"/>
      <c r="G38" s="77"/>
      <c r="H38" s="56">
        <f>IFERROR(I38/J38,0)</f>
        <v>0</v>
      </c>
      <c r="I38" s="57">
        <f>I39+I44+I49+I54</f>
        <v>0</v>
      </c>
      <c r="J38" s="57">
        <f>J39+J44+J49+J54</f>
        <v>200</v>
      </c>
      <c r="L38" s="1">
        <f>'9. Weighting'!K51</f>
        <v>1</v>
      </c>
      <c r="N38" s="452" t="str">
        <f>IF(D38&lt;&gt;L38,'12.lan'!$D$240&amp;VLOOKUP(L38,$C$102:$D$106,2,FALSE)&amp;" ("&amp;L38&amp;")","")</f>
        <v/>
      </c>
    </row>
    <row r="39" spans="1:15" ht="32.25" customHeight="1">
      <c r="A39" s="2"/>
      <c r="B39" s="59" t="s">
        <v>42</v>
      </c>
      <c r="C39" s="60" t="str">
        <f>'12.lan'!D138</f>
        <v>Menschenwürde am Arbeitsplatz</v>
      </c>
      <c r="D39" s="61">
        <f>IF(K39="trifft nicht zu",C101,'9. Weighting'!M30)</f>
        <v>1</v>
      </c>
      <c r="E39" s="78" t="str">
        <f>VLOOKUP(D39,$C$102:$D$106,2,FALSE)</f>
        <v>mittel</v>
      </c>
      <c r="F39" s="74">
        <f>IF(K39="trifft nicht zu","trifft nicht zu",'9. Weighting'!M30)</f>
        <v>1</v>
      </c>
      <c r="G39" s="75"/>
      <c r="H39" s="64">
        <f>IF(J39&lt;&gt;0,SUM(I40:I43)/J39,"-")</f>
        <v>0</v>
      </c>
      <c r="I39" s="65">
        <f>IF(J39=0,0,H39*J39)</f>
        <v>0</v>
      </c>
      <c r="J39" s="65">
        <f>'9. Weighting'!M29</f>
        <v>50</v>
      </c>
      <c r="K39" s="1" t="str">
        <f>IF(AND(D40="trifft nicht zu",D41="trifft nicht zu",,D42="trifft nicht zu"),"trifft nicht zu","")</f>
        <v/>
      </c>
      <c r="L39" s="1">
        <f>VLOOKUP(O39,$C$102:$E$106,3,FALSE)</f>
        <v>1</v>
      </c>
      <c r="M39" s="1">
        <f>VLOOKUP(D39,$C$102:$E$106,3,FALSE)</f>
        <v>1</v>
      </c>
      <c r="N39" s="66" t="str">
        <f>IF(L39=M39,"",'12.lan'!$D$240&amp;VLOOKUP(L39,$C$102:$D$106,2,FALSE)&amp;" ("&amp;L39&amp;")")</f>
        <v/>
      </c>
      <c r="O39" s="1">
        <f>IF(K39="trifft nicht zu",C106,'9. Weighting'!M30)</f>
        <v>1</v>
      </c>
    </row>
    <row r="40" spans="1:15" ht="30" customHeight="1">
      <c r="A40" s="2"/>
      <c r="B40" s="67" t="s">
        <v>43</v>
      </c>
      <c r="C40" s="67" t="str">
        <f>'12.lan'!D139</f>
        <v>Mitarbeiterorientierte Unternehmenskultur</v>
      </c>
      <c r="D40" s="68">
        <f>C104</f>
        <v>1</v>
      </c>
      <c r="E40" s="80" t="str">
        <f>VLOOKUP(D40,$C$102:$D$106,2,FALSE)</f>
        <v>mittel</v>
      </c>
      <c r="F40" s="70" t="str">
        <f>'12.lan'!$D$329</f>
        <v>Skalenwert eingeben: Wert muss im Bereich von 0 bis 10 liegen.</v>
      </c>
      <c r="G40" s="71"/>
      <c r="H40" s="72">
        <v>0</v>
      </c>
      <c r="I40" s="467">
        <f>IFERROR(J40*H40/10,0)</f>
        <v>0</v>
      </c>
      <c r="J40" s="73">
        <f>IFERROR($J$39*K40/(SUM($K$40:$K$42)),0)</f>
        <v>16.666666666666668</v>
      </c>
      <c r="K40" s="1">
        <f>VLOOKUP(D40,$C$102:$E$106,3,FALSE)</f>
        <v>1</v>
      </c>
      <c r="L40" s="1">
        <f>VLOOKUP(O40,$C$102:$E$106,3,FALSE)</f>
        <v>1</v>
      </c>
      <c r="M40" s="1">
        <f>VLOOKUP(D40,$C$102:$E$106,3,FALSE)</f>
        <v>1</v>
      </c>
      <c r="N40" s="66" t="str">
        <f>IF(L40=M40,"",'12.lan'!$D$240&amp;VLOOKUP(L40,$C$102:$D$106,2,FALSE)&amp;" ("&amp;L40&amp;")")</f>
        <v/>
      </c>
      <c r="O40" s="1">
        <f>C104</f>
        <v>1</v>
      </c>
    </row>
    <row r="41" spans="1:15" ht="30" customHeight="1">
      <c r="A41" s="2"/>
      <c r="B41" s="23" t="s">
        <v>44</v>
      </c>
      <c r="C41" s="23" t="str">
        <f>'12.lan'!D140</f>
        <v>Gesundheitsförderung und Arbeitsschutz</v>
      </c>
      <c r="D41" s="68">
        <f>C104</f>
        <v>1</v>
      </c>
      <c r="E41" s="80" t="str">
        <f>VLOOKUP(D41,$C$102:$D$106,2,FALSE)</f>
        <v>mittel</v>
      </c>
      <c r="F41" s="70" t="str">
        <f>'12.lan'!$D$329</f>
        <v>Skalenwert eingeben: Wert muss im Bereich von 0 bis 10 liegen.</v>
      </c>
      <c r="G41" s="71"/>
      <c r="H41" s="72">
        <v>0</v>
      </c>
      <c r="I41" s="467">
        <f>IFERROR(J41*H41/10,0)</f>
        <v>0</v>
      </c>
      <c r="J41" s="73">
        <f>IFERROR($J$39*K41/(SUM($K$40:$K$42)),0)</f>
        <v>16.666666666666668</v>
      </c>
      <c r="K41" s="1">
        <f>VLOOKUP(D41,$C$102:$E$106,3,FALSE)</f>
        <v>1</v>
      </c>
      <c r="L41" s="1">
        <f>VLOOKUP(O41,$C$102:$E$106,3,FALSE)</f>
        <v>1</v>
      </c>
      <c r="M41" s="1">
        <f>VLOOKUP(D41,$C$102:$E$106,3,FALSE)</f>
        <v>1</v>
      </c>
      <c r="N41" s="66" t="str">
        <f>IF(L41=M41,"",'12.lan'!$D$240&amp;VLOOKUP(L41,$C$102:$D$106,2,FALSE)&amp;" ("&amp;L41&amp;")")</f>
        <v/>
      </c>
      <c r="O41" s="1">
        <f>C104</f>
        <v>1</v>
      </c>
    </row>
    <row r="42" spans="1:15" ht="30" customHeight="1">
      <c r="A42" s="2"/>
      <c r="B42" s="23" t="s">
        <v>45</v>
      </c>
      <c r="C42" s="23" t="str">
        <f>'12.lan'!D141</f>
        <v>Diversität und Chancengleichheit</v>
      </c>
      <c r="D42" s="68">
        <f>C104</f>
        <v>1</v>
      </c>
      <c r="E42" s="80" t="str">
        <f>VLOOKUP(D42,$C$102:$D$106,2,FALSE)</f>
        <v>mittel</v>
      </c>
      <c r="F42" s="70" t="str">
        <f>'12.lan'!$D$329</f>
        <v>Skalenwert eingeben: Wert muss im Bereich von 0 bis 10 liegen.</v>
      </c>
      <c r="G42" s="71"/>
      <c r="H42" s="72">
        <v>0</v>
      </c>
      <c r="I42" s="467">
        <f>IFERROR(J42*H42/10,0)</f>
        <v>0</v>
      </c>
      <c r="J42" s="73">
        <f>IFERROR($J$39*K42/(SUM($K$40:$K$42)),0)</f>
        <v>16.666666666666668</v>
      </c>
      <c r="K42" s="1">
        <f>VLOOKUP(D42,$C$102:$E$106,3,FALSE)</f>
        <v>1</v>
      </c>
      <c r="L42" s="1">
        <f>VLOOKUP(O42,$C$102:$E$106,3,FALSE)</f>
        <v>1</v>
      </c>
      <c r="M42" s="1">
        <f>VLOOKUP(D42,$C$102:$E$106,3,FALSE)</f>
        <v>1</v>
      </c>
      <c r="N42" s="66" t="str">
        <f>IF(L42=M42,"",'12.lan'!$D$240&amp;VLOOKUP(L42,$C$102:$D$106,2,FALSE)&amp;" ("&amp;L42&amp;")")</f>
        <v/>
      </c>
      <c r="O42" s="1">
        <f>C104</f>
        <v>1</v>
      </c>
    </row>
    <row r="43" spans="1:15" ht="30" customHeight="1">
      <c r="A43" s="2"/>
      <c r="B43" s="83" t="s">
        <v>46</v>
      </c>
      <c r="C43" s="83" t="str">
        <f>'12.lan'!D142</f>
        <v>Negativ-Aspekt: Menschenunwürdige Arbeitsbedingungen</v>
      </c>
      <c r="D43" s="68"/>
      <c r="E43" s="80"/>
      <c r="F43" s="70" t="str">
        <f>'12.lan'!$D$330</f>
        <v>Negativpunkte eingeben: Werte müssen im Bereich von -200 bis 0 liegen.</v>
      </c>
      <c r="G43" s="71"/>
      <c r="H43" s="72">
        <v>0</v>
      </c>
      <c r="I43" s="467">
        <f>H43*J39/50</f>
        <v>0</v>
      </c>
      <c r="J43" s="73">
        <f>-200*J39/50</f>
        <v>-200</v>
      </c>
    </row>
    <row r="44" spans="1:15" ht="33" customHeight="1">
      <c r="A44" s="2"/>
      <c r="B44" s="59" t="s">
        <v>47</v>
      </c>
      <c r="C44" s="60" t="str">
        <f>'12.lan'!D143</f>
        <v>Ausgestaltung der Arbeitsverträge</v>
      </c>
      <c r="D44" s="61">
        <f>IF(K44="trifft nicht zu",C106,'9. Weighting'!N30)</f>
        <v>1</v>
      </c>
      <c r="E44" s="78" t="str">
        <f>VLOOKUP(D44,$C$102:$D$106,2,FALSE)</f>
        <v>mittel</v>
      </c>
      <c r="F44" s="74">
        <f>IF(K44="trifft nicht zu","trifft nicht zu",'9. Weighting'!N30)</f>
        <v>1</v>
      </c>
      <c r="G44" s="75"/>
      <c r="H44" s="64">
        <f>IF(J44&lt;&gt;0,SUM(I45:I48)/J44,"-")</f>
        <v>0</v>
      </c>
      <c r="I44" s="65">
        <f>IF(J44=0,0,H44*J44)</f>
        <v>0</v>
      </c>
      <c r="J44" s="65">
        <f>'9. Weighting'!N29</f>
        <v>50</v>
      </c>
      <c r="K44" s="1" t="str">
        <f>IF(AND(D45="trifft nicht zu",D46="trifft nicht zu",,D47="trifft nicht zu"),"trifft nicht zu","")</f>
        <v/>
      </c>
      <c r="L44" s="1">
        <f>VLOOKUP(O44,$C$102:$E$106,3,FALSE)</f>
        <v>1</v>
      </c>
      <c r="M44" s="1">
        <f>VLOOKUP(D44,$C$102:$E$106,3,FALSE)</f>
        <v>1</v>
      </c>
      <c r="N44" s="66" t="str">
        <f>IF(L44=M44,"",'12.lan'!$D$240&amp;VLOOKUP(L44,$C$102:$D$106,2,FALSE)&amp;" ("&amp;L44&amp;")")</f>
        <v/>
      </c>
      <c r="O44" s="1">
        <f>IF(K44="trifft nicht zu",C106,'9. Weighting'!N30)</f>
        <v>1</v>
      </c>
    </row>
    <row r="45" spans="1:15" ht="30" customHeight="1">
      <c r="A45" s="2"/>
      <c r="B45" s="79" t="s">
        <v>48</v>
      </c>
      <c r="C45" s="67" t="str">
        <f>'12.lan'!D144</f>
        <v>Ausgestaltung des Verdienstes</v>
      </c>
      <c r="D45" s="68">
        <f>C104</f>
        <v>1</v>
      </c>
      <c r="E45" s="80" t="str">
        <f>VLOOKUP(D45,$C$102:$D$106,2,FALSE)</f>
        <v>mittel</v>
      </c>
      <c r="F45" s="70" t="str">
        <f>'12.lan'!$D$329</f>
        <v>Skalenwert eingeben: Wert muss im Bereich von 0 bis 10 liegen.</v>
      </c>
      <c r="G45" s="71"/>
      <c r="H45" s="72">
        <v>0</v>
      </c>
      <c r="I45" s="467">
        <f>IFERROR(J45*H45/10,0)</f>
        <v>0</v>
      </c>
      <c r="J45" s="73">
        <f>IFERROR($J$44*K45/(SUM($K$45:$K$47)),0)</f>
        <v>16.666666666666668</v>
      </c>
      <c r="K45" s="1">
        <f>VLOOKUP(D45,$C$102:$E$106,3,FALSE)</f>
        <v>1</v>
      </c>
      <c r="L45" s="1">
        <f>VLOOKUP(O45,$C$102:$E$106,3,FALSE)</f>
        <v>1</v>
      </c>
      <c r="M45" s="1">
        <f>VLOOKUP(D45,$C$102:$E$106,3,FALSE)</f>
        <v>1</v>
      </c>
      <c r="N45" s="66" t="str">
        <f>IF(L45=M45,"",'12.lan'!$D$240&amp;VLOOKUP(L45,$C$102:$D$106,2,FALSE)&amp;" ("&amp;L45&amp;")")</f>
        <v/>
      </c>
      <c r="O45" s="1">
        <f>C104</f>
        <v>1</v>
      </c>
    </row>
    <row r="46" spans="1:15" ht="30" customHeight="1">
      <c r="A46" s="2"/>
      <c r="B46" s="15" t="s">
        <v>49</v>
      </c>
      <c r="C46" s="23" t="str">
        <f>'12.lan'!D145</f>
        <v>Ausgestaltung der Arbeitszeit</v>
      </c>
      <c r="D46" s="68">
        <f>C104</f>
        <v>1</v>
      </c>
      <c r="E46" s="80" t="str">
        <f>VLOOKUP(D46,$C$102:$D$106,2,FALSE)</f>
        <v>mittel</v>
      </c>
      <c r="F46" s="70" t="str">
        <f>'12.lan'!$D$329</f>
        <v>Skalenwert eingeben: Wert muss im Bereich von 0 bis 10 liegen.</v>
      </c>
      <c r="G46" s="71"/>
      <c r="H46" s="72">
        <v>0</v>
      </c>
      <c r="I46" s="467">
        <f>IFERROR(J46*H46/10,0)</f>
        <v>0</v>
      </c>
      <c r="J46" s="73">
        <f>IFERROR($J$44*K46/(SUM($K$45:$K$47)),0)</f>
        <v>16.666666666666668</v>
      </c>
      <c r="K46" s="1">
        <f>VLOOKUP(D46,$C$102:$E$106,3,FALSE)</f>
        <v>1</v>
      </c>
      <c r="L46" s="1">
        <f>VLOOKUP(O46,$C$102:$E$106,3,FALSE)</f>
        <v>1</v>
      </c>
      <c r="M46" s="1">
        <f>VLOOKUP(D46,$C$102:$E$106,3,FALSE)</f>
        <v>1</v>
      </c>
      <c r="N46" s="66" t="str">
        <f>IF(L46=M46,"",'12.lan'!$D$240&amp;VLOOKUP(L46,$C$102:$D$106,2,FALSE)&amp;" ("&amp;L46&amp;")")</f>
        <v/>
      </c>
      <c r="O46" s="1">
        <f>C104</f>
        <v>1</v>
      </c>
    </row>
    <row r="47" spans="1:15" ht="33" customHeight="1">
      <c r="A47" s="2"/>
      <c r="B47" s="84" t="s">
        <v>50</v>
      </c>
      <c r="C47" s="83" t="str">
        <f>'12.lan'!D146</f>
        <v>Ausgestaltung des Arbeitsverhältnisses und Work-Life-Balance</v>
      </c>
      <c r="D47" s="68">
        <f>C104</f>
        <v>1</v>
      </c>
      <c r="E47" s="80" t="str">
        <f>VLOOKUP(D47,$C$102:$D$106,2,FALSE)</f>
        <v>mittel</v>
      </c>
      <c r="F47" s="70" t="str">
        <f>'12.lan'!$D$329</f>
        <v>Skalenwert eingeben: Wert muss im Bereich von 0 bis 10 liegen.</v>
      </c>
      <c r="G47" s="71"/>
      <c r="H47" s="72">
        <v>0</v>
      </c>
      <c r="I47" s="467">
        <f>IFERROR(J47*H47/10,0)</f>
        <v>0</v>
      </c>
      <c r="J47" s="73">
        <f>IFERROR($J$44*K47/(SUM($K$45:$K$47)),0)</f>
        <v>16.666666666666668</v>
      </c>
      <c r="K47" s="1">
        <f>VLOOKUP(D47,$C$102:$E$106,3,FALSE)</f>
        <v>1</v>
      </c>
      <c r="L47" s="1">
        <f>VLOOKUP(O47,$C$102:$E$106,3,FALSE)</f>
        <v>1</v>
      </c>
      <c r="M47" s="1">
        <f>VLOOKUP(D47,$C$102:$E$106,3,FALSE)</f>
        <v>1</v>
      </c>
      <c r="N47" s="66" t="str">
        <f>IF(L47=M47,"",'12.lan'!$D$240&amp;VLOOKUP(L47,$C$102:$D$106,2,FALSE)&amp;" ("&amp;L47&amp;")")</f>
        <v/>
      </c>
      <c r="O47" s="1">
        <f>C104</f>
        <v>1</v>
      </c>
    </row>
    <row r="48" spans="1:15" ht="33" customHeight="1">
      <c r="A48" s="2"/>
      <c r="B48" s="84" t="s">
        <v>51</v>
      </c>
      <c r="C48" s="83" t="str">
        <f>'12.lan'!D147</f>
        <v>Negativ-Aspekt: Ungerechte Ausgestaltung der Arbeitsverträge</v>
      </c>
      <c r="D48" s="68"/>
      <c r="E48" s="80"/>
      <c r="F48" s="70" t="str">
        <f>'12.lan'!$D$330</f>
        <v>Negativpunkte eingeben: Werte müssen im Bereich von -200 bis 0 liegen.</v>
      </c>
      <c r="G48" s="71"/>
      <c r="H48" s="72">
        <v>0</v>
      </c>
      <c r="I48" s="467">
        <f>H48*J44/50</f>
        <v>0</v>
      </c>
      <c r="J48" s="73">
        <f>-200*J44/50</f>
        <v>-200</v>
      </c>
    </row>
    <row r="49" spans="1:15" ht="33" customHeight="1">
      <c r="A49" s="2"/>
      <c r="B49" s="59" t="s">
        <v>52</v>
      </c>
      <c r="C49" s="60" t="str">
        <f>'12.lan'!D148</f>
        <v>Förderung des ökologischen Verhaltens der Mitarbeitenden</v>
      </c>
      <c r="D49" s="61">
        <f>IF(K49="trifft nicht zu",C101,'9. Weighting'!O30)</f>
        <v>1</v>
      </c>
      <c r="E49" s="78" t="str">
        <f>VLOOKUP(D49,$C$102:$D$106,2,FALSE)</f>
        <v>mittel</v>
      </c>
      <c r="F49" s="74">
        <f>IF(K49="trifft nicht zu","trifft nicht zu",'9. Weighting'!O30)</f>
        <v>1</v>
      </c>
      <c r="G49" s="75"/>
      <c r="H49" s="64">
        <f>IF(J49&lt;&gt;0,SUM(I50:I53)/J49,"-")</f>
        <v>0</v>
      </c>
      <c r="I49" s="65">
        <f>IF(J49=0,0,H49*J49)</f>
        <v>0</v>
      </c>
      <c r="J49" s="65">
        <f>'9. Weighting'!O29</f>
        <v>50</v>
      </c>
      <c r="K49" s="1" t="str">
        <f>IF(AND(D50="trifft nicht zu",D51="trifft nicht zu",,D52="trifft nicht zu"),"trifft nicht zu","")</f>
        <v/>
      </c>
      <c r="L49" s="1">
        <f>VLOOKUP(O49,$C$102:$E$106,3,FALSE)</f>
        <v>1</v>
      </c>
      <c r="M49" s="1">
        <f>VLOOKUP(D49,$C$102:$E$106,3,FALSE)</f>
        <v>1</v>
      </c>
      <c r="N49" s="66" t="str">
        <f>IF(L49=M49,"",'12.lan'!$D$240&amp;VLOOKUP(L49,$C$102:$D$106,2,FALSE)&amp;" ("&amp;L49&amp;")")</f>
        <v/>
      </c>
      <c r="O49" s="1">
        <f>IF(K49="trifft nicht zu",C106,'9. Weighting'!O30)</f>
        <v>1</v>
      </c>
    </row>
    <row r="50" spans="1:15" ht="30" customHeight="1">
      <c r="A50" s="2"/>
      <c r="B50" s="79" t="s">
        <v>53</v>
      </c>
      <c r="C50" s="67" t="str">
        <f>'12.lan'!D149</f>
        <v>Ernährung während der Arbeitszeit</v>
      </c>
      <c r="D50" s="68">
        <f>C104</f>
        <v>1</v>
      </c>
      <c r="E50" s="80" t="str">
        <f>VLOOKUP(D50,$C$102:$D$106,2,FALSE)</f>
        <v>mittel</v>
      </c>
      <c r="F50" s="70" t="str">
        <f>'12.lan'!$D$329</f>
        <v>Skalenwert eingeben: Wert muss im Bereich von 0 bis 10 liegen.</v>
      </c>
      <c r="G50" s="71"/>
      <c r="H50" s="72">
        <v>0</v>
      </c>
      <c r="I50" s="467">
        <f>IFERROR(J50*H50/10,0)</f>
        <v>0</v>
      </c>
      <c r="J50" s="73">
        <f>IFERROR($J$49*K50/(SUM($K$50:$K$52)),0)</f>
        <v>16.666666666666668</v>
      </c>
      <c r="K50" s="1">
        <f>VLOOKUP(D50,$C$102:$E$106,3,FALSE)</f>
        <v>1</v>
      </c>
      <c r="L50" s="1">
        <f>VLOOKUP(O50,$C$102:$E$106,3,FALSE)</f>
        <v>1</v>
      </c>
      <c r="M50" s="1">
        <f>VLOOKUP(D50,$C$102:$E$106,3,FALSE)</f>
        <v>1</v>
      </c>
      <c r="N50" s="66" t="str">
        <f>IF(L50=M50,"",'12.lan'!$D$240&amp;VLOOKUP(L50,$C$102:$D$106,2,FALSE)&amp;" ("&amp;L50&amp;")")</f>
        <v/>
      </c>
      <c r="O50" s="1">
        <f>C104</f>
        <v>1</v>
      </c>
    </row>
    <row r="51" spans="1:15" ht="30" customHeight="1">
      <c r="A51" s="2"/>
      <c r="B51" s="15" t="s">
        <v>54</v>
      </c>
      <c r="C51" s="23" t="str">
        <f>'12.lan'!D150</f>
        <v>Mobilität zum Arbeitsplatz</v>
      </c>
      <c r="D51" s="68">
        <f>C104</f>
        <v>1</v>
      </c>
      <c r="E51" s="80" t="str">
        <f>VLOOKUP(D51,$C$102:$D$106,2,FALSE)</f>
        <v>mittel</v>
      </c>
      <c r="F51" s="70" t="str">
        <f>'12.lan'!$D$329</f>
        <v>Skalenwert eingeben: Wert muss im Bereich von 0 bis 10 liegen.</v>
      </c>
      <c r="G51" s="71"/>
      <c r="H51" s="72">
        <v>0</v>
      </c>
      <c r="I51" s="467">
        <f>IFERROR(J51*H51/10,0)</f>
        <v>0</v>
      </c>
      <c r="J51" s="73">
        <f>IFERROR($J$49*K51/(SUM($K$50:$K$52)),0)</f>
        <v>16.666666666666668</v>
      </c>
      <c r="K51" s="1">
        <f>VLOOKUP(D51,$C$102:$E$106,3,FALSE)</f>
        <v>1</v>
      </c>
      <c r="L51" s="1">
        <f>VLOOKUP(O51,$C$102:$E$106,3,FALSE)</f>
        <v>1</v>
      </c>
      <c r="M51" s="1">
        <f>VLOOKUP(D51,$C$102:$E$106,3,FALSE)</f>
        <v>1</v>
      </c>
      <c r="N51" s="66" t="str">
        <f>IF(L51=M51,"",'12.lan'!$D$240&amp;VLOOKUP(L51,$C$102:$D$106,2,FALSE)&amp;" ("&amp;L51&amp;")")</f>
        <v/>
      </c>
      <c r="O51" s="1">
        <f>C104</f>
        <v>1</v>
      </c>
    </row>
    <row r="52" spans="1:15" ht="30" customHeight="1">
      <c r="A52" s="2"/>
      <c r="B52" s="84" t="s">
        <v>55</v>
      </c>
      <c r="C52" s="83" t="str">
        <f>'12.lan'!D151</f>
        <v>Organisationskultur, Sensibilisierung und unternehmensinterne Prozesse</v>
      </c>
      <c r="D52" s="68">
        <f>C104</f>
        <v>1</v>
      </c>
      <c r="E52" s="80" t="str">
        <f>VLOOKUP(D52,$C$102:$D$106,2,FALSE)</f>
        <v>mittel</v>
      </c>
      <c r="F52" s="70" t="str">
        <f>'12.lan'!$D$329</f>
        <v>Skalenwert eingeben: Wert muss im Bereich von 0 bis 10 liegen.</v>
      </c>
      <c r="G52" s="71"/>
      <c r="H52" s="72">
        <v>0</v>
      </c>
      <c r="I52" s="467">
        <f>IFERROR(J52*H52/10,0)</f>
        <v>0</v>
      </c>
      <c r="J52" s="73">
        <f>IFERROR($J$49*K52/(SUM($K$50:$K$52)),0)</f>
        <v>16.666666666666668</v>
      </c>
      <c r="K52" s="1">
        <f>VLOOKUP(D52,$C$102:$E$106,3,FALSE)</f>
        <v>1</v>
      </c>
      <c r="L52" s="1">
        <f>VLOOKUP(O52,$C$102:$E$106,3,FALSE)</f>
        <v>1</v>
      </c>
      <c r="M52" s="1">
        <f>VLOOKUP(D52,$C$102:$E$106,3,FALSE)</f>
        <v>1</v>
      </c>
      <c r="N52" s="66" t="str">
        <f>IF(L52=M52,"",'12.lan'!$D$240&amp;VLOOKUP(L52,$C$102:$D$106,2,FALSE)&amp;" ("&amp;L52&amp;")")</f>
        <v/>
      </c>
      <c r="O52" s="1">
        <f>C104</f>
        <v>1</v>
      </c>
    </row>
    <row r="53" spans="1:15" ht="33.75" customHeight="1">
      <c r="A53" s="2"/>
      <c r="B53" s="84" t="s">
        <v>56</v>
      </c>
      <c r="C53" s="83" t="str">
        <f>'12.lan'!D152</f>
        <v>Negativ-Aspekt: Anleitung zur Verschwendung / Duldung unökologischen Verhaltens</v>
      </c>
      <c r="D53" s="68"/>
      <c r="E53" s="80"/>
      <c r="F53" s="70" t="str">
        <f>'12.lan'!$D$330</f>
        <v>Negativpunkte eingeben: Werte müssen im Bereich von -200 bis 0 liegen.</v>
      </c>
      <c r="G53" s="71"/>
      <c r="H53" s="72">
        <v>0</v>
      </c>
      <c r="I53" s="467">
        <f>H53*J49/50</f>
        <v>0</v>
      </c>
      <c r="J53" s="73">
        <f>-200*J49/50</f>
        <v>-200</v>
      </c>
    </row>
    <row r="54" spans="1:15" ht="33" customHeight="1">
      <c r="A54" s="2"/>
      <c r="B54" s="59" t="s">
        <v>57</v>
      </c>
      <c r="C54" s="60" t="str">
        <f>'12.lan'!D153</f>
        <v>Innerbetriebliche Mitentscheidung und Transparenz</v>
      </c>
      <c r="D54" s="61">
        <f>IF(K54="trifft nicht zu",C106,'9. Weighting'!P30)</f>
        <v>1</v>
      </c>
      <c r="E54" s="78" t="str">
        <f>VLOOKUP(D54,$C$102:$D$106,2,FALSE)</f>
        <v>mittel</v>
      </c>
      <c r="F54" s="74">
        <f>IF(K54="trifft nicht zu","trifft nicht zu",'9. Weighting'!P30)</f>
        <v>1</v>
      </c>
      <c r="G54" s="75"/>
      <c r="H54" s="64">
        <f>IF(J54&lt;&gt;0,SUM(I55:I58)/J54,"-")</f>
        <v>0</v>
      </c>
      <c r="I54" s="65">
        <f>IF(J54=0,0,H54*J54)</f>
        <v>0</v>
      </c>
      <c r="J54" s="65">
        <f>'9. Weighting'!P29</f>
        <v>50</v>
      </c>
      <c r="K54" s="1" t="str">
        <f>IF(AND(D55="trifft nicht zu",D56="trifft nicht zu",,D57="trifft nicht zu"),"trifft nicht zu","")</f>
        <v/>
      </c>
      <c r="L54" s="1">
        <f>VLOOKUP(O54,$C$102:$E$106,3,FALSE)</f>
        <v>1</v>
      </c>
      <c r="M54" s="1">
        <f>VLOOKUP(D54,$C$102:$E$106,3,FALSE)</f>
        <v>1</v>
      </c>
      <c r="N54" s="66" t="str">
        <f>IF(L54=M54,"",'12.lan'!$D$240&amp;VLOOKUP(L54,$C$102:$D$106,2,FALSE)&amp;" ("&amp;L54&amp;")")</f>
        <v/>
      </c>
      <c r="O54" s="1">
        <f>IF(K54="trifft nicht zu",C106,'9. Weighting'!P30)</f>
        <v>1</v>
      </c>
    </row>
    <row r="55" spans="1:15" ht="30" customHeight="1">
      <c r="A55" s="2"/>
      <c r="B55" s="79" t="s">
        <v>58</v>
      </c>
      <c r="C55" s="67" t="str">
        <f>'12.lan'!D154</f>
        <v>Innerbetriebliche Transparenz</v>
      </c>
      <c r="D55" s="68">
        <f>C104</f>
        <v>1</v>
      </c>
      <c r="E55" s="80" t="str">
        <f>VLOOKUP(D55,$C$102:$D$106,2,FALSE)</f>
        <v>mittel</v>
      </c>
      <c r="F55" s="70" t="str">
        <f>'12.lan'!$D$329</f>
        <v>Skalenwert eingeben: Wert muss im Bereich von 0 bis 10 liegen.</v>
      </c>
      <c r="G55" s="71"/>
      <c r="H55" s="72">
        <v>0</v>
      </c>
      <c r="I55" s="467">
        <f>IFERROR(J55*H55/10,0)</f>
        <v>0</v>
      </c>
      <c r="J55" s="73">
        <f>IFERROR($J$54*K55/(SUM($K$55:$K$57)),0)</f>
        <v>16.666666666666668</v>
      </c>
      <c r="K55" s="1">
        <f>VLOOKUP(D55,$C$102:$E$106,3,FALSE)</f>
        <v>1</v>
      </c>
      <c r="L55" s="1">
        <f>VLOOKUP(O55,$C$102:$E$106,3,FALSE)</f>
        <v>1</v>
      </c>
      <c r="M55" s="1">
        <f>VLOOKUP(D55,$C$102:$E$106,3,FALSE)</f>
        <v>1</v>
      </c>
      <c r="N55" s="66" t="str">
        <f>IF(L55=M55,"",'12.lan'!$D$240&amp;VLOOKUP(L55,$C$102:$D$106,2,FALSE)&amp;" ("&amp;L55&amp;")")</f>
        <v/>
      </c>
      <c r="O55" s="1">
        <f>C104</f>
        <v>1</v>
      </c>
    </row>
    <row r="56" spans="1:15" ht="30" customHeight="1">
      <c r="A56" s="2"/>
      <c r="B56" s="15" t="s">
        <v>59</v>
      </c>
      <c r="C56" s="23" t="str">
        <f>'12.lan'!D155</f>
        <v>Legitimierung der Führungskräfte</v>
      </c>
      <c r="D56" s="68">
        <f>C104</f>
        <v>1</v>
      </c>
      <c r="E56" s="80" t="str">
        <f>VLOOKUP(D56,$C$102:$D$106,2,FALSE)</f>
        <v>mittel</v>
      </c>
      <c r="F56" s="70" t="str">
        <f>'12.lan'!$D$329</f>
        <v>Skalenwert eingeben: Wert muss im Bereich von 0 bis 10 liegen.</v>
      </c>
      <c r="G56" s="71"/>
      <c r="H56" s="72">
        <v>0</v>
      </c>
      <c r="I56" s="467">
        <f>IFERROR(J56*H56/10,0)</f>
        <v>0</v>
      </c>
      <c r="J56" s="73">
        <f>IFERROR($J$54*K56/(SUM($K$55:$K$57)),0)</f>
        <v>16.666666666666668</v>
      </c>
      <c r="K56" s="1">
        <f>VLOOKUP(D56,$C$102:$E$106,3,FALSE)</f>
        <v>1</v>
      </c>
      <c r="L56" s="1">
        <f>VLOOKUP(O56,$C$102:$E$106,3,FALSE)</f>
        <v>1</v>
      </c>
      <c r="M56" s="1">
        <f>VLOOKUP(D56,$C$102:$E$106,3,FALSE)</f>
        <v>1</v>
      </c>
      <c r="N56" s="66" t="str">
        <f>IF(L56=M56,"",'12.lan'!$D$240&amp;VLOOKUP(L56,$C$102:$D$106,2,FALSE)&amp;" ("&amp;L56&amp;")")</f>
        <v/>
      </c>
      <c r="O56" s="1">
        <f>C104</f>
        <v>1</v>
      </c>
    </row>
    <row r="57" spans="1:15" ht="30" customHeight="1">
      <c r="A57" s="2"/>
      <c r="B57" s="15" t="s">
        <v>60</v>
      </c>
      <c r="C57" s="23" t="str">
        <f>'12.lan'!D156</f>
        <v>Mitentscheidung der Mitarbeitenden</v>
      </c>
      <c r="D57" s="68">
        <f>C104</f>
        <v>1</v>
      </c>
      <c r="E57" s="80" t="str">
        <f>VLOOKUP(D57,$C$102:$D$106,2,FALSE)</f>
        <v>mittel</v>
      </c>
      <c r="F57" s="70" t="str">
        <f>'12.lan'!$D$329</f>
        <v>Skalenwert eingeben: Wert muss im Bereich von 0 bis 10 liegen.</v>
      </c>
      <c r="G57" s="71"/>
      <c r="H57" s="72">
        <v>0</v>
      </c>
      <c r="I57" s="467">
        <f>IFERROR(J57*H57/10,0)</f>
        <v>0</v>
      </c>
      <c r="J57" s="73">
        <f>IFERROR($J$54*K57/(SUM($K$55:$K$57)),0)</f>
        <v>16.666666666666668</v>
      </c>
      <c r="K57" s="1">
        <f>VLOOKUP(D57,$C$102:$E$106,3,FALSE)</f>
        <v>1</v>
      </c>
      <c r="L57" s="1">
        <f>VLOOKUP(O57,$C$102:$E$106,3,FALSE)</f>
        <v>1</v>
      </c>
      <c r="M57" s="1">
        <f>VLOOKUP(D57,$C$102:$E$106,3,FALSE)</f>
        <v>1</v>
      </c>
      <c r="N57" s="66" t="str">
        <f>IF(L57=M57,"",'12.lan'!$D$240&amp;VLOOKUP(L57,$C$102:$D$106,2,FALSE)&amp;" ("&amp;L57&amp;")")</f>
        <v/>
      </c>
      <c r="O57" s="1">
        <f>C104</f>
        <v>1</v>
      </c>
    </row>
    <row r="58" spans="1:15" ht="30" customHeight="1">
      <c r="A58" s="2"/>
      <c r="B58" s="33" t="s">
        <v>61</v>
      </c>
      <c r="C58" s="85" t="str">
        <f>'12.lan'!D157</f>
        <v>Negativ-Aspekt C4.4: Verhinderung des Betriebsrates</v>
      </c>
      <c r="D58" s="68"/>
      <c r="E58" s="80"/>
      <c r="F58" s="70" t="str">
        <f>'12.lan'!$D$330</f>
        <v>Negativpunkte eingeben: Werte müssen im Bereich von -200 bis 0 liegen.</v>
      </c>
      <c r="G58" s="71"/>
      <c r="H58" s="72">
        <v>0</v>
      </c>
      <c r="I58" s="467">
        <f>H58*J54/50</f>
        <v>0</v>
      </c>
      <c r="J58" s="73">
        <f>-200*J54/50</f>
        <v>-200</v>
      </c>
    </row>
    <row r="59" spans="1:15" ht="36" customHeight="1">
      <c r="A59" s="2"/>
      <c r="B59" s="55" t="s">
        <v>62</v>
      </c>
      <c r="C59" s="55" t="str">
        <f>'12.lan'!D158</f>
        <v>Kund*nnen und Mitunternehmen</v>
      </c>
      <c r="D59" s="76">
        <f>L59</f>
        <v>1</v>
      </c>
      <c r="E59" s="455" t="str">
        <f>VLOOKUP(D59,$C$102:$D$106,2,FALSE)</f>
        <v>mittel</v>
      </c>
      <c r="F59" s="77"/>
      <c r="G59" s="77"/>
      <c r="H59" s="56">
        <f>IFERROR(I59/J59,0)</f>
        <v>0</v>
      </c>
      <c r="I59" s="57">
        <f>I60+I64+I68+I72</f>
        <v>0</v>
      </c>
      <c r="J59" s="57">
        <f>J60+J64+J68+J72</f>
        <v>200</v>
      </c>
      <c r="L59" s="1">
        <f>'9. Weighting'!K52</f>
        <v>1</v>
      </c>
      <c r="N59" s="452" t="str">
        <f>IF(D59&lt;&gt;L59,'12.lan'!$D$240&amp;VLOOKUP(L59,$C$102:$D$106,2,FALSE)&amp;" ("&amp;L59&amp;")","")</f>
        <v/>
      </c>
    </row>
    <row r="60" spans="1:15" ht="33" customHeight="1">
      <c r="A60" s="2"/>
      <c r="B60" s="59" t="s">
        <v>63</v>
      </c>
      <c r="C60" s="60" t="str">
        <f>'12.lan'!D159</f>
        <v>Ethische Kund*innenbeziehungen</v>
      </c>
      <c r="D60" s="61">
        <f>IF(K60="trifft nicht zu",C106,'9. Weighting'!M37)</f>
        <v>1</v>
      </c>
      <c r="E60" s="78" t="str">
        <f>VLOOKUP(D60,$C$102:$D$106,2,FALSE)</f>
        <v>mittel</v>
      </c>
      <c r="F60" s="74">
        <f>IF(K60="trifft nicht zu","trifft nicht zu",'9. Weighting'!M37)</f>
        <v>1</v>
      </c>
      <c r="G60" s="75"/>
      <c r="H60" s="64">
        <f>IF(J60&lt;&gt;0,SUM(I61:I63)/J60,"-")</f>
        <v>0</v>
      </c>
      <c r="I60" s="65">
        <f>IF(J60=0,0,H60*J60)</f>
        <v>0</v>
      </c>
      <c r="J60" s="65">
        <f>'9. Weighting'!M36</f>
        <v>50</v>
      </c>
      <c r="K60" s="1" t="str">
        <f>IF(AND(D61="trifft nicht zu",D62="trifft nicht zu"),"trifft nicht zu","")</f>
        <v/>
      </c>
      <c r="L60" s="1">
        <f>VLOOKUP(O60,$C$102:$E$106,3,FALSE)</f>
        <v>1</v>
      </c>
      <c r="M60" s="1">
        <f>VLOOKUP(D60,$C$102:$E$106,3,FALSE)</f>
        <v>1</v>
      </c>
      <c r="N60" s="66" t="str">
        <f>IF(L60=M60,"",'12.lan'!$D$240&amp;VLOOKUP(L60,$C$102:$D$106,2,FALSE)&amp;" ("&amp;L60&amp;")")</f>
        <v/>
      </c>
      <c r="O60" s="1">
        <f>IF(K60="trifft nicht zu",C106,'9. Weighting'!M37)</f>
        <v>1</v>
      </c>
    </row>
    <row r="61" spans="1:15" ht="30" customHeight="1">
      <c r="A61" s="2"/>
      <c r="B61" s="67" t="s">
        <v>64</v>
      </c>
      <c r="C61" s="67" t="str">
        <f>'12.lan'!D160</f>
        <v>Menschenwürdige Kommunikation mit Kund*innen</v>
      </c>
      <c r="D61" s="68">
        <f>C104</f>
        <v>1</v>
      </c>
      <c r="E61" s="80" t="str">
        <f>VLOOKUP(D61,$C$102:$D$106,2,FALSE)</f>
        <v>mittel</v>
      </c>
      <c r="F61" s="70" t="str">
        <f>'12.lan'!$D$329</f>
        <v>Skalenwert eingeben: Wert muss im Bereich von 0 bis 10 liegen.</v>
      </c>
      <c r="G61" s="71"/>
      <c r="H61" s="72">
        <v>0</v>
      </c>
      <c r="I61" s="467">
        <f>IFERROR(J61*H61/10,0)</f>
        <v>0</v>
      </c>
      <c r="J61" s="73">
        <f>IFERROR($J$60*K61/(SUM($K$61:$K$62)),0)</f>
        <v>25</v>
      </c>
      <c r="K61" s="1">
        <f>VLOOKUP(D61,$C$102:$E$106,3,FALSE)</f>
        <v>1</v>
      </c>
      <c r="L61" s="1">
        <f>VLOOKUP(O61,$C$102:$E$106,3,FALSE)</f>
        <v>1</v>
      </c>
      <c r="M61" s="1">
        <f>VLOOKUP(D61,$C$102:$E$106,3,FALSE)</f>
        <v>1</v>
      </c>
      <c r="N61" s="66" t="str">
        <f>IF(L61=M61,"",'12.lan'!$D$240&amp;VLOOKUP(L61,$C$102:$D$106,2,FALSE)&amp;" ("&amp;L61&amp;")")</f>
        <v/>
      </c>
      <c r="O61" s="1">
        <f>C104</f>
        <v>1</v>
      </c>
    </row>
    <row r="62" spans="1:15" ht="30" customHeight="1">
      <c r="A62" s="2"/>
      <c r="B62" s="15" t="s">
        <v>65</v>
      </c>
      <c r="C62" s="23" t="str">
        <f>'12.lan'!D161</f>
        <v>Barrierefreiheit</v>
      </c>
      <c r="D62" s="68">
        <f>C104</f>
        <v>1</v>
      </c>
      <c r="E62" s="80" t="str">
        <f>VLOOKUP(D62,$C$102:$D$106,2,FALSE)</f>
        <v>mittel</v>
      </c>
      <c r="F62" s="70" t="str">
        <f>'12.lan'!$D$329</f>
        <v>Skalenwert eingeben: Wert muss im Bereich von 0 bis 10 liegen.</v>
      </c>
      <c r="G62" s="71"/>
      <c r="H62" s="72">
        <v>0</v>
      </c>
      <c r="I62" s="467">
        <f>IFERROR(J62*H62/10,0)</f>
        <v>0</v>
      </c>
      <c r="J62" s="73">
        <f>IFERROR($J$60*K62/(SUM($K$61:$K$62)),0)</f>
        <v>25</v>
      </c>
      <c r="K62" s="1">
        <f>VLOOKUP(D62,$C$102:$E$106,3,FALSE)</f>
        <v>1</v>
      </c>
      <c r="L62" s="1">
        <f>VLOOKUP(O62,$C$102:$E$106,3,FALSE)</f>
        <v>1</v>
      </c>
      <c r="M62" s="1">
        <f>VLOOKUP(D62,$C$102:$E$106,3,FALSE)</f>
        <v>1</v>
      </c>
      <c r="N62" s="66" t="str">
        <f>IF(L62=M62,"",'12.lan'!$D$240&amp;VLOOKUP(L62,$C$102:$D$106,2,FALSE)&amp;" ("&amp;L62&amp;")")</f>
        <v/>
      </c>
      <c r="O62" s="1">
        <f>C104</f>
        <v>1</v>
      </c>
    </row>
    <row r="63" spans="1:15" ht="30" customHeight="1">
      <c r="A63" s="2"/>
      <c r="B63" s="23" t="s">
        <v>66</v>
      </c>
      <c r="C63" s="23" t="str">
        <f>'12.lan'!D162</f>
        <v>Negativ-Aspekt: Unethische Werbemaßnahmen</v>
      </c>
      <c r="D63" s="68"/>
      <c r="E63" s="80"/>
      <c r="F63" s="70" t="str">
        <f>'12.lan'!$D$330</f>
        <v>Negativpunkte eingeben: Werte müssen im Bereich von -200 bis 0 liegen.</v>
      </c>
      <c r="G63" s="71"/>
      <c r="H63" s="72">
        <v>0</v>
      </c>
      <c r="I63" s="467">
        <f>H63*J60/50</f>
        <v>0</v>
      </c>
      <c r="J63" s="73">
        <f>-200*J60/50</f>
        <v>-200</v>
      </c>
    </row>
    <row r="64" spans="1:15" ht="33" customHeight="1">
      <c r="A64" s="2"/>
      <c r="B64" s="59" t="s">
        <v>67</v>
      </c>
      <c r="C64" s="60" t="str">
        <f>'12.lan'!D163</f>
        <v>Kooperation und Solidarität mit Mitunternehmen</v>
      </c>
      <c r="D64" s="61">
        <f>IF(K64="trifft nicht zu",C106,'9. Weighting'!N37)</f>
        <v>1</v>
      </c>
      <c r="E64" s="78" t="str">
        <f>VLOOKUP(D64,$C$102:$D$106,2,FALSE)</f>
        <v>mittel</v>
      </c>
      <c r="F64" s="74">
        <f>IF(K64="trifft nicht zu","trifft nicht zu",'9. Weighting'!N37)</f>
        <v>1</v>
      </c>
      <c r="G64" s="75"/>
      <c r="H64" s="64">
        <f>IF(J64&lt;&gt;0,SUM(I65:I67)/J64,"-")</f>
        <v>0</v>
      </c>
      <c r="I64" s="65">
        <f>IF(J64=0,0,H64*J64)</f>
        <v>0</v>
      </c>
      <c r="J64" s="65">
        <f>'9. Weighting'!N36</f>
        <v>50</v>
      </c>
      <c r="K64" s="1" t="str">
        <f>IF(AND(D65="trifft nicht zu",D66="trifft nicht zu"),"trifft nicht zu","")</f>
        <v/>
      </c>
      <c r="L64" s="1">
        <f>VLOOKUP(O64,$C$102:$E$106,3,FALSE)</f>
        <v>1</v>
      </c>
      <c r="M64" s="1">
        <f>VLOOKUP(D64,$C$102:$E$106,3,FALSE)</f>
        <v>1</v>
      </c>
      <c r="N64" s="66" t="str">
        <f>IF(L64=M64,"",'12.lan'!$D$240&amp;VLOOKUP(L64,$C$102:$D$106,2,FALSE)&amp;" ("&amp;L64&amp;")")</f>
        <v/>
      </c>
      <c r="O64" s="1">
        <f>IF(K64="trifft nicht zu",C106,'9. Weighting'!N37)</f>
        <v>1</v>
      </c>
    </row>
    <row r="65" spans="1:15" ht="30" customHeight="1">
      <c r="A65" s="2"/>
      <c r="B65" s="67" t="s">
        <v>68</v>
      </c>
      <c r="C65" s="67" t="str">
        <f>'12.lan'!D164</f>
        <v>Kooperation mit Mitunternehmen</v>
      </c>
      <c r="D65" s="68">
        <f>C104</f>
        <v>1</v>
      </c>
      <c r="E65" s="80" t="str">
        <f>VLOOKUP(D65,$C$102:$D$106,2,FALSE)</f>
        <v>mittel</v>
      </c>
      <c r="F65" s="70" t="str">
        <f>'12.lan'!$D$329</f>
        <v>Skalenwert eingeben: Wert muss im Bereich von 0 bis 10 liegen.</v>
      </c>
      <c r="G65" s="71"/>
      <c r="H65" s="72">
        <v>0</v>
      </c>
      <c r="I65" s="467">
        <f>IFERROR(J65*H65/10,0)</f>
        <v>0</v>
      </c>
      <c r="J65" s="73">
        <f>IFERROR($J$64*K65/(SUM($K$65:$K$66)),0)</f>
        <v>25</v>
      </c>
      <c r="K65" s="1">
        <f>VLOOKUP(D65,$C$102:$E$106,3,FALSE)</f>
        <v>1</v>
      </c>
      <c r="L65" s="1">
        <f>VLOOKUP(O65,$C$102:$E$106,3,FALSE)</f>
        <v>1</v>
      </c>
      <c r="M65" s="1">
        <f>VLOOKUP(D65,$C$102:$E$106,3,FALSE)</f>
        <v>1</v>
      </c>
      <c r="N65" s="66" t="str">
        <f>IF(L65=M65,"",'12.lan'!$D$240&amp;VLOOKUP(L65,$C$102:$D$106,2,FALSE)&amp;" ("&amp;L65&amp;")")</f>
        <v/>
      </c>
      <c r="O65" s="1">
        <f>C104</f>
        <v>1</v>
      </c>
    </row>
    <row r="66" spans="1:15" ht="30" customHeight="1">
      <c r="A66" s="2"/>
      <c r="B66" s="23" t="s">
        <v>69</v>
      </c>
      <c r="C66" s="23" t="str">
        <f>'12.lan'!D165</f>
        <v>Solidarität mit Mitunternehmen</v>
      </c>
      <c r="D66" s="68">
        <f>C104</f>
        <v>1</v>
      </c>
      <c r="E66" s="80" t="str">
        <f>VLOOKUP(D66,$C$102:$D$106,2,FALSE)</f>
        <v>mittel</v>
      </c>
      <c r="F66" s="70" t="str">
        <f>'12.lan'!$D$329</f>
        <v>Skalenwert eingeben: Wert muss im Bereich von 0 bis 10 liegen.</v>
      </c>
      <c r="G66" s="71"/>
      <c r="H66" s="72">
        <v>0</v>
      </c>
      <c r="I66" s="467">
        <f>IFERROR(J66*H66/10,0)</f>
        <v>0</v>
      </c>
      <c r="J66" s="73">
        <f>IFERROR($J$64*K66/(SUM($K$65:$K$66)),0)</f>
        <v>25</v>
      </c>
      <c r="K66" s="1">
        <f>VLOOKUP(D66,$C$102:$E$106,3,FALSE)</f>
        <v>1</v>
      </c>
      <c r="L66" s="1">
        <f>VLOOKUP(O66,$C$102:$E$106,3,FALSE)</f>
        <v>1</v>
      </c>
      <c r="M66" s="1">
        <f>VLOOKUP(D66,$C$102:$E$106,3,FALSE)</f>
        <v>1</v>
      </c>
      <c r="N66" s="66" t="str">
        <f>IF(L66=M66,"",'12.lan'!$D$240&amp;VLOOKUP(L66,$C$102:$D$106,2,FALSE)&amp;" ("&amp;L66&amp;")")</f>
        <v/>
      </c>
      <c r="O66" s="1">
        <f>C104</f>
        <v>1</v>
      </c>
    </row>
    <row r="67" spans="1:15" ht="33.75" customHeight="1">
      <c r="A67" s="2"/>
      <c r="B67" s="83" t="s">
        <v>70</v>
      </c>
      <c r="C67" s="83" t="str">
        <f>'12.lan'!D166</f>
        <v>Negativ-Aspekt D2.3: Missbrauch der Marktmacht gegenüber Mitunternehmen</v>
      </c>
      <c r="D67" s="68"/>
      <c r="E67" s="80"/>
      <c r="F67" s="70" t="str">
        <f>'12.lan'!$D$330</f>
        <v>Negativpunkte eingeben: Werte müssen im Bereich von -200 bis 0 liegen.</v>
      </c>
      <c r="G67" s="86"/>
      <c r="H67" s="72">
        <v>0</v>
      </c>
      <c r="I67" s="467">
        <f>H67*J64/50</f>
        <v>0</v>
      </c>
      <c r="J67" s="73">
        <f>-200*J64/50</f>
        <v>-200</v>
      </c>
    </row>
    <row r="68" spans="1:15" ht="36" customHeight="1">
      <c r="A68" s="2"/>
      <c r="B68" s="59" t="s">
        <v>71</v>
      </c>
      <c r="C68" s="87" t="str">
        <f>'12.lan'!D167</f>
        <v>Ökologische Auswirkung durch Nutzung und Entsorgung von Produkten und Dienstleistungen</v>
      </c>
      <c r="D68" s="61">
        <f>IF(K68="trifft nicht zu",C106,'9. Weighting'!O37)</f>
        <v>1</v>
      </c>
      <c r="E68" s="78" t="str">
        <f>VLOOKUP(D68,$C$102:$D$106,2,FALSE)</f>
        <v>mittel</v>
      </c>
      <c r="F68" s="74">
        <f>IF(K68="trifft nicht zu","trifft nicht zu",'9. Weighting'!O37)</f>
        <v>1</v>
      </c>
      <c r="G68" s="88"/>
      <c r="H68" s="64">
        <f>IF(J68&lt;&gt;0,SUM(I69:I71)/J68,"-")</f>
        <v>0</v>
      </c>
      <c r="I68" s="65">
        <f>IF(J68=0,0,H68*J68)</f>
        <v>0</v>
      </c>
      <c r="J68" s="65">
        <f>'9. Weighting'!O36</f>
        <v>50</v>
      </c>
      <c r="K68" s="1" t="str">
        <f>IF(AND(D69="trifft nicht zu",D70="trifft nicht zu"),"trifft nicht zu","")</f>
        <v/>
      </c>
      <c r="L68" s="1">
        <f>VLOOKUP(O68,$C$102:$E$106,3,FALSE)</f>
        <v>1</v>
      </c>
      <c r="M68" s="1">
        <f>VLOOKUP(D68,$C$102:$E$106,3,FALSE)</f>
        <v>1</v>
      </c>
      <c r="N68" s="66" t="str">
        <f>IF(L68=M68,"",'12.lan'!$D$240&amp;VLOOKUP(L68,$C$102:$D$106,2,FALSE)&amp;" ("&amp;L68&amp;")")</f>
        <v/>
      </c>
      <c r="O68" s="1">
        <f>IF(K68="trifft nicht zu",C106,'9. Weighting'!O37)</f>
        <v>1</v>
      </c>
    </row>
    <row r="69" spans="1:15" ht="33.75" customHeight="1">
      <c r="A69" s="2"/>
      <c r="B69" s="67" t="s">
        <v>72</v>
      </c>
      <c r="C69" s="67" t="str">
        <f>'12.lan'!D168</f>
        <v>Ökologisches Kosten-Nutzen-Verhältnis von Produkten und Dienstleistungen (Effizienz und Konsistenz)</v>
      </c>
      <c r="D69" s="68">
        <f>C104</f>
        <v>1</v>
      </c>
      <c r="E69" s="80" t="str">
        <f>VLOOKUP(D69,$C$102:$D$106,2,FALSE)</f>
        <v>mittel</v>
      </c>
      <c r="F69" s="70" t="str">
        <f>'12.lan'!$D$329</f>
        <v>Skalenwert eingeben: Wert muss im Bereich von 0 bis 10 liegen.</v>
      </c>
      <c r="G69" s="71"/>
      <c r="H69" s="72">
        <v>0</v>
      </c>
      <c r="I69" s="467">
        <f>IFERROR(J69*H69/10,0)</f>
        <v>0</v>
      </c>
      <c r="J69" s="73">
        <f>IFERROR($J$68*K69/(SUM($K$69:$K$70)),0)</f>
        <v>25</v>
      </c>
      <c r="K69" s="1">
        <f>VLOOKUP(D69,$C$102:$E$106,3,FALSE)</f>
        <v>1</v>
      </c>
      <c r="L69" s="1">
        <f>VLOOKUP(O69,$C$102:$E$106,3,FALSE)</f>
        <v>1</v>
      </c>
      <c r="M69" s="1">
        <f>VLOOKUP(D69,$C$102:$E$106,3,FALSE)</f>
        <v>1</v>
      </c>
      <c r="N69" s="66" t="str">
        <f>IF(L69=M69,"",'12.lan'!$D$240&amp;VLOOKUP(L69,$C$102:$D$106,2,FALSE)&amp;" ("&amp;L69&amp;")")</f>
        <v/>
      </c>
      <c r="O69" s="1">
        <f>C104</f>
        <v>1</v>
      </c>
    </row>
    <row r="70" spans="1:15" ht="30" customHeight="1">
      <c r="A70" s="2"/>
      <c r="B70" s="23" t="s">
        <v>73</v>
      </c>
      <c r="C70" s="23" t="str">
        <f>'12.lan'!D169</f>
        <v>Maßvolle Nutzung von Produkten und Dienstleistungen (Suffizienz)</v>
      </c>
      <c r="D70" s="68">
        <f>C104</f>
        <v>1</v>
      </c>
      <c r="E70" s="80" t="str">
        <f>VLOOKUP(D70,$C$102:$D$106,2,FALSE)</f>
        <v>mittel</v>
      </c>
      <c r="F70" s="70" t="str">
        <f>'12.lan'!$D$329</f>
        <v>Skalenwert eingeben: Wert muss im Bereich von 0 bis 10 liegen.</v>
      </c>
      <c r="G70" s="71"/>
      <c r="H70" s="72">
        <v>0</v>
      </c>
      <c r="I70" s="467">
        <f>IFERROR(J70*H70/10,0)</f>
        <v>0</v>
      </c>
      <c r="J70" s="73">
        <f>IFERROR($J$68*K70/(SUM($K$69:$K$70)),0)</f>
        <v>25</v>
      </c>
      <c r="K70" s="1">
        <f>VLOOKUP(D70,$C$102:$E$106,3,FALSE)</f>
        <v>1</v>
      </c>
      <c r="L70" s="1">
        <f>VLOOKUP(O70,$C$102:$E$106,3,FALSE)</f>
        <v>1</v>
      </c>
      <c r="M70" s="1">
        <f>VLOOKUP(D70,$C$102:$E$106,3,FALSE)</f>
        <v>1</v>
      </c>
      <c r="N70" s="66" t="str">
        <f>IF(L70=M70,"",'12.lan'!$D$240&amp;VLOOKUP(L70,$C$102:$D$106,2,FALSE)&amp;" ("&amp;L70&amp;")")</f>
        <v/>
      </c>
      <c r="O70" s="1">
        <f>C104</f>
        <v>1</v>
      </c>
    </row>
    <row r="71" spans="1:15" ht="33" customHeight="1">
      <c r="A71" s="2"/>
      <c r="B71" s="83" t="s">
        <v>74</v>
      </c>
      <c r="C71" s="83" t="str">
        <f>'12.lan'!D170</f>
        <v>Negativ-Aspekt: Bewusste Inkaufnahme unverhältnismäßiger, ökologischer Auswirkungen</v>
      </c>
      <c r="D71" s="68"/>
      <c r="E71" s="80"/>
      <c r="F71" s="70" t="str">
        <f>'12.lan'!$D$330</f>
        <v>Negativpunkte eingeben: Werte müssen im Bereich von -200 bis 0 liegen.</v>
      </c>
      <c r="G71" s="71"/>
      <c r="H71" s="72">
        <v>0</v>
      </c>
      <c r="I71" s="467">
        <f>H71*J68/50</f>
        <v>0</v>
      </c>
      <c r="J71" s="73">
        <f>-200*J68/50</f>
        <v>-200</v>
      </c>
    </row>
    <row r="72" spans="1:15" ht="33" customHeight="1">
      <c r="A72" s="2"/>
      <c r="B72" s="59" t="s">
        <v>75</v>
      </c>
      <c r="C72" s="60" t="str">
        <f>'12.lan'!D171</f>
        <v>Kund*innen-Mitwirkung und Produkttransparenz</v>
      </c>
      <c r="D72" s="61">
        <f>IF(K72="trifft nicht zu",C106,'9. Weighting'!P37)</f>
        <v>1</v>
      </c>
      <c r="E72" s="78" t="str">
        <f>VLOOKUP(D72,$C$102:$D$106,2,FALSE)</f>
        <v>mittel</v>
      </c>
      <c r="F72" s="74">
        <f>IF(K72="trifft nicht zu","trifft nicht zu",'9. Weighting'!P37)</f>
        <v>1</v>
      </c>
      <c r="G72" s="75"/>
      <c r="H72" s="64">
        <f>IF(J72&lt;&gt;0,SUM(I73:I75)/J72,"-")</f>
        <v>0</v>
      </c>
      <c r="I72" s="65">
        <f>IF(J72=0,0,H72*J72)</f>
        <v>0</v>
      </c>
      <c r="J72" s="65">
        <f>'9. Weighting'!P36</f>
        <v>50</v>
      </c>
      <c r="K72" s="1" t="str">
        <f>IF(AND(D73="trifft nicht zu",D74="trifft nicht zu"),"trifft nicht zu","")</f>
        <v/>
      </c>
      <c r="L72" s="1">
        <f>VLOOKUP(O72,$C$102:$E$106,3,FALSE)</f>
        <v>1</v>
      </c>
      <c r="M72" s="1">
        <f>VLOOKUP(D72,$C$102:$E$106,3,FALSE)</f>
        <v>1</v>
      </c>
      <c r="N72" s="66" t="str">
        <f>IF(L72=M72,"",'12.lan'!$D$240&amp;VLOOKUP(L72,$C$102:$D$106,2,FALSE)&amp;" ("&amp;L72&amp;")")</f>
        <v/>
      </c>
      <c r="O72" s="1">
        <f>IF(K72="trifft nicht zu",C106,'9. Weighting'!P37)</f>
        <v>1</v>
      </c>
    </row>
    <row r="73" spans="1:15" ht="33.75" customHeight="1">
      <c r="A73" s="2"/>
      <c r="B73" s="67" t="s">
        <v>76</v>
      </c>
      <c r="C73" s="67" t="str">
        <f>'12.lan'!D172</f>
        <v>Kund*innen-Mitwirkung, gemeinsame Produktentwicklung und Marktforschung</v>
      </c>
      <c r="D73" s="68">
        <f>C104</f>
        <v>1</v>
      </c>
      <c r="E73" s="80" t="str">
        <f>VLOOKUP(D73,$C$102:$D$106,2,FALSE)</f>
        <v>mittel</v>
      </c>
      <c r="F73" s="70" t="str">
        <f>'12.lan'!$D$329</f>
        <v>Skalenwert eingeben: Wert muss im Bereich von 0 bis 10 liegen.</v>
      </c>
      <c r="G73" s="71"/>
      <c r="H73" s="72">
        <v>0</v>
      </c>
      <c r="I73" s="467">
        <f>IFERROR(J73*H73/10,0)</f>
        <v>0</v>
      </c>
      <c r="J73" s="73">
        <f>IFERROR($J$72*K73/(SUM($K$73:$K$74)),0)</f>
        <v>25</v>
      </c>
      <c r="K73" s="1">
        <f>VLOOKUP(D73,$C$102:$E$106,3,FALSE)</f>
        <v>1</v>
      </c>
      <c r="L73" s="1">
        <f>VLOOKUP(O73,$C$102:$E$106,3,FALSE)</f>
        <v>1</v>
      </c>
      <c r="M73" s="1">
        <f>VLOOKUP(D73,$C$102:$E$106,3,FALSE)</f>
        <v>1</v>
      </c>
      <c r="N73" s="66" t="str">
        <f>IF(L73=M73,"",'12.lan'!$D$240&amp;VLOOKUP(L73,$C$102:$D$106,2,FALSE)&amp;" ("&amp;L73&amp;")")</f>
        <v/>
      </c>
      <c r="O73" s="1">
        <f>C104</f>
        <v>1</v>
      </c>
    </row>
    <row r="74" spans="1:15" ht="30" customHeight="1">
      <c r="A74" s="2"/>
      <c r="B74" s="83" t="s">
        <v>77</v>
      </c>
      <c r="C74" s="83" t="str">
        <f>'12.lan'!D173</f>
        <v>Produkttransparenz</v>
      </c>
      <c r="D74" s="68">
        <f>C104</f>
        <v>1</v>
      </c>
      <c r="E74" s="80" t="str">
        <f>VLOOKUP(D74,$C$102:$D$106,2,FALSE)</f>
        <v>mittel</v>
      </c>
      <c r="F74" s="70" t="str">
        <f>'12.lan'!$D$329</f>
        <v>Skalenwert eingeben: Wert muss im Bereich von 0 bis 10 liegen.</v>
      </c>
      <c r="G74" s="71"/>
      <c r="H74" s="72">
        <v>0</v>
      </c>
      <c r="I74" s="467">
        <f>IFERROR(J74*H74/10,0)</f>
        <v>0</v>
      </c>
      <c r="J74" s="73">
        <f>IFERROR($J$72*K74/(SUM($K$73:$K$74)),0)</f>
        <v>25</v>
      </c>
      <c r="K74" s="1">
        <f>VLOOKUP(D74,$C$102:$E$106,3,FALSE)</f>
        <v>1</v>
      </c>
      <c r="L74" s="1">
        <f>VLOOKUP(O74,$C$102:$E$106,3,FALSE)</f>
        <v>1</v>
      </c>
      <c r="M74" s="1">
        <f>VLOOKUP(D74,$C$102:$E$106,3,FALSE)</f>
        <v>1</v>
      </c>
      <c r="N74" s="66" t="str">
        <f>IF(L74=M74,"",'12.lan'!$D$240&amp;VLOOKUP(L74,$C$102:$D$106,2,FALSE)&amp;" ("&amp;L74&amp;")")</f>
        <v/>
      </c>
      <c r="O74" s="1">
        <f>C104</f>
        <v>1</v>
      </c>
    </row>
    <row r="75" spans="1:15" ht="30" customHeight="1">
      <c r="A75" s="2"/>
      <c r="B75" s="83" t="s">
        <v>77</v>
      </c>
      <c r="C75" s="83" t="str">
        <f>'12.lan'!D174</f>
        <v>Negativ-Aspekt: Kein Ausweis von Gefahrenstoffen</v>
      </c>
      <c r="D75" s="68"/>
      <c r="E75" s="80"/>
      <c r="F75" s="70" t="str">
        <f>'12.lan'!$D$330</f>
        <v>Negativpunkte eingeben: Werte müssen im Bereich von -200 bis 0 liegen.</v>
      </c>
      <c r="G75" s="71"/>
      <c r="H75" s="72">
        <v>0</v>
      </c>
      <c r="I75" s="467">
        <f>H75*J72/50</f>
        <v>0</v>
      </c>
      <c r="J75" s="73">
        <f>-200*J72/50</f>
        <v>-200</v>
      </c>
    </row>
    <row r="76" spans="1:15" ht="36" customHeight="1">
      <c r="A76" s="2"/>
      <c r="B76" s="55" t="s">
        <v>78</v>
      </c>
      <c r="C76" s="55" t="str">
        <f>'12.lan'!D175</f>
        <v>Gesellschaftliches Umfeld</v>
      </c>
      <c r="D76" s="76">
        <f>L76</f>
        <v>1</v>
      </c>
      <c r="E76" s="455" t="str">
        <f>VLOOKUP(D76,$C$102:$D$106,2,FALSE)</f>
        <v>mittel</v>
      </c>
      <c r="F76" s="77"/>
      <c r="G76" s="77"/>
      <c r="H76" s="56">
        <f>IFERROR(I76/J76,0)</f>
        <v>0</v>
      </c>
      <c r="I76" s="57">
        <f>I77+I81+I86+I90</f>
        <v>0</v>
      </c>
      <c r="J76" s="57">
        <f>J77+J81+J86+J90</f>
        <v>200</v>
      </c>
      <c r="L76" s="1">
        <f>'9. Weighting'!K53</f>
        <v>1</v>
      </c>
      <c r="N76" s="452" t="str">
        <f>IF(D76&lt;&gt;L76,'12.lan'!$D$240&amp;VLOOKUP(L76,$C$102:$D$106,2,FALSE)&amp;" ("&amp;L76&amp;")","")</f>
        <v/>
      </c>
    </row>
    <row r="77" spans="1:15" ht="36" customHeight="1">
      <c r="A77" s="2"/>
      <c r="B77" s="59" t="s">
        <v>79</v>
      </c>
      <c r="C77" s="87" t="str">
        <f>'12.lan'!D176</f>
        <v>Sinn und gesellschaftliche Wirkung der Produkte und Dienstleistungen</v>
      </c>
      <c r="D77" s="61">
        <f>IF(K77="trifft nicht zu",C106,'9. Weighting'!M43)</f>
        <v>1</v>
      </c>
      <c r="E77" s="78" t="str">
        <f>VLOOKUP(D77,$C$102:$D$106,2,FALSE)</f>
        <v>mittel</v>
      </c>
      <c r="F77" s="89">
        <f>IF(K77="trifft nicht zu","trifft nicht zu",'9. Weighting'!M43)</f>
        <v>1</v>
      </c>
      <c r="G77" s="90"/>
      <c r="H77" s="64">
        <f>IF(J77&lt;&gt;0,SUM(I78:I80)/J77,"-")</f>
        <v>0</v>
      </c>
      <c r="I77" s="65">
        <f>IF(J77=0,0,H77*J77)</f>
        <v>0</v>
      </c>
      <c r="J77" s="65">
        <f>'9. Weighting'!M42</f>
        <v>50</v>
      </c>
      <c r="K77" s="1" t="str">
        <f>IF(AND(D78="trifft nicht zu",D79="trifft nicht zu"),"trifft nicht zu","")</f>
        <v/>
      </c>
      <c r="L77" s="1">
        <f>VLOOKUP(O77,$C$102:$E$106,3,FALSE)</f>
        <v>1</v>
      </c>
      <c r="M77" s="1">
        <f>VLOOKUP(D77,$C$102:$E$106,3,FALSE)</f>
        <v>1</v>
      </c>
      <c r="N77" s="66" t="str">
        <f>IF(L77=M77,"",'12.lan'!$D$240&amp;VLOOKUP(L77,$C$102:$D$106,2,FALSE)&amp;" ("&amp;L77&amp;")")</f>
        <v/>
      </c>
      <c r="O77" s="1">
        <f>IF(K77="trifft nicht zu",C106,'9. Weighting'!M43)</f>
        <v>1</v>
      </c>
    </row>
    <row r="78" spans="1:15" ht="34.5" customHeight="1">
      <c r="A78" s="2"/>
      <c r="B78" s="67" t="s">
        <v>80</v>
      </c>
      <c r="C78" s="67" t="str">
        <f>'12.lan'!D177</f>
        <v>Produkte und Dienstleistungen decken den Grundbedarf und dienen dem guten Leben</v>
      </c>
      <c r="D78" s="68">
        <f>C104</f>
        <v>1</v>
      </c>
      <c r="E78" s="80" t="str">
        <f>VLOOKUP(D78,$C$102:$D$106,2,FALSE)</f>
        <v>mittel</v>
      </c>
      <c r="F78" s="70" t="str">
        <f>'12.lan'!$D$329</f>
        <v>Skalenwert eingeben: Wert muss im Bereich von 0 bis 10 liegen.</v>
      </c>
      <c r="G78" s="71"/>
      <c r="H78" s="72">
        <v>0</v>
      </c>
      <c r="I78" s="467">
        <f>IFERROR(J78*H78/10,0)</f>
        <v>0</v>
      </c>
      <c r="J78" s="73">
        <f>IFERROR($J$77*K78/(SUM($K$78:$K$79)),0)</f>
        <v>25</v>
      </c>
      <c r="K78" s="1">
        <f>VLOOKUP(D78,$C$102:$E$106,3,FALSE)</f>
        <v>1</v>
      </c>
      <c r="L78" s="1">
        <f>VLOOKUP(O78,$C$102:$E$106,3,FALSE)</f>
        <v>1</v>
      </c>
      <c r="M78" s="1">
        <f>VLOOKUP(D78,$C$102:$E$106,3,FALSE)</f>
        <v>1</v>
      </c>
      <c r="N78" s="66" t="str">
        <f>IF(L78=M78,"",'12.lan'!$D$240&amp;VLOOKUP(L78,$C$102:$D$106,2,FALSE)&amp;" ("&amp;L78&amp;")")</f>
        <v/>
      </c>
      <c r="O78" s="1">
        <f>C104</f>
        <v>1</v>
      </c>
    </row>
    <row r="79" spans="1:15" ht="30" customHeight="1">
      <c r="A79" s="2"/>
      <c r="B79" s="83" t="s">
        <v>81</v>
      </c>
      <c r="C79" s="83" t="str">
        <f>'12.lan'!D178</f>
        <v>Gesellschaftliche Wirkung der Produkte und Dienstleistungen</v>
      </c>
      <c r="D79" s="68">
        <f>C104</f>
        <v>1</v>
      </c>
      <c r="E79" s="80" t="str">
        <f>VLOOKUP(D79,$C$102:$D$106,2,FALSE)</f>
        <v>mittel</v>
      </c>
      <c r="F79" s="70" t="str">
        <f>'12.lan'!$D$329</f>
        <v>Skalenwert eingeben: Wert muss im Bereich von 0 bis 10 liegen.</v>
      </c>
      <c r="G79" s="71"/>
      <c r="H79" s="72">
        <v>0</v>
      </c>
      <c r="I79" s="467">
        <f>IFERROR(J79*H79/10,0)</f>
        <v>0</v>
      </c>
      <c r="J79" s="73">
        <f>IFERROR($J$77*K79/(SUM($K$78:$K$79)),0)</f>
        <v>25</v>
      </c>
      <c r="K79" s="1">
        <f>VLOOKUP(D79,$C$102:$E$106,3,FALSE)</f>
        <v>1</v>
      </c>
      <c r="L79" s="1">
        <f>VLOOKUP(O79,$C$102:$E$106,3,FALSE)</f>
        <v>1</v>
      </c>
      <c r="M79" s="1">
        <f>VLOOKUP(D79,$C$102:$E$106,3,FALSE)</f>
        <v>1</v>
      </c>
      <c r="N79" s="66" t="str">
        <f>IF(L79=M79,"",'12.lan'!$D$240&amp;VLOOKUP(L79,$C$102:$D$106,2,FALSE)&amp;" ("&amp;L79&amp;")")</f>
        <v/>
      </c>
      <c r="O79" s="1">
        <f>C104</f>
        <v>1</v>
      </c>
    </row>
    <row r="80" spans="1:15" ht="30" customHeight="1">
      <c r="A80" s="2"/>
      <c r="B80" s="83" t="s">
        <v>82</v>
      </c>
      <c r="C80" s="83" t="str">
        <f>'12.lan'!D179</f>
        <v>Negativ-Aspekt: Menschenunwürdige Produkte und Dienstleistungen</v>
      </c>
      <c r="D80" s="68"/>
      <c r="E80" s="80"/>
      <c r="F80" s="70" t="str">
        <f>'12.lan'!$D$330</f>
        <v>Negativpunkte eingeben: Werte müssen im Bereich von -200 bis 0 liegen.</v>
      </c>
      <c r="G80" s="71"/>
      <c r="H80" s="72">
        <v>0</v>
      </c>
      <c r="I80" s="467">
        <f>H80*J77/50</f>
        <v>0</v>
      </c>
      <c r="J80" s="73">
        <f>-200*J77/50</f>
        <v>-200</v>
      </c>
    </row>
    <row r="81" spans="1:15" ht="33" customHeight="1">
      <c r="A81" s="2"/>
      <c r="B81" s="59" t="s">
        <v>83</v>
      </c>
      <c r="C81" s="87" t="str">
        <f>'12.lan'!D180</f>
        <v>Beitrag zum Gemeinwesen</v>
      </c>
      <c r="D81" s="61">
        <f>IF(K81="trifft nicht zu",C106,'9. Weighting'!N43)</f>
        <v>1</v>
      </c>
      <c r="E81" s="78" t="str">
        <f>VLOOKUP(D81,$C$102:$D$106,2,FALSE)</f>
        <v>mittel</v>
      </c>
      <c r="F81" s="89">
        <f>IF(K81="trifft nicht zu","trifft nicht zu",'9. Weighting'!N43)</f>
        <v>1</v>
      </c>
      <c r="G81" s="90"/>
      <c r="H81" s="64">
        <f>IF(J81&lt;&gt;0,SUM(I82:I85)/J81,"-")</f>
        <v>0</v>
      </c>
      <c r="I81" s="65">
        <f>IF(J81=0,0,H81*J81)</f>
        <v>0</v>
      </c>
      <c r="J81" s="65">
        <f>'9. Weighting'!N42</f>
        <v>50</v>
      </c>
      <c r="K81" s="1" t="str">
        <f>IF(AND(D82="trifft nicht zu",D83="trifft nicht zu"),"trifft nicht zu","")</f>
        <v/>
      </c>
      <c r="L81" s="1">
        <f>VLOOKUP(O81,$C$102:$E$106,3,FALSE)</f>
        <v>1</v>
      </c>
      <c r="M81" s="1">
        <f>VLOOKUP(D81,$C$102:$E$106,3,FALSE)</f>
        <v>1</v>
      </c>
      <c r="N81" s="66" t="str">
        <f>IF(L81=M81,"",'12.lan'!$D$240&amp;VLOOKUP(L81,$C$102:$D$106,2,FALSE)&amp;" ("&amp;L81&amp;")")</f>
        <v/>
      </c>
      <c r="O81" s="1">
        <f>IF(K81="trifft nicht zu",C106,'9. Weighting'!N43)</f>
        <v>1</v>
      </c>
    </row>
    <row r="82" spans="1:15" ht="30" customHeight="1">
      <c r="A82" s="2"/>
      <c r="B82" s="79" t="s">
        <v>84</v>
      </c>
      <c r="C82" s="79" t="str">
        <f>'12.lan'!D181</f>
        <v>Steuern und Sozialabgaben</v>
      </c>
      <c r="D82" s="68">
        <f>C104</f>
        <v>1</v>
      </c>
      <c r="E82" s="80" t="str">
        <f>VLOOKUP(D82,$C$102:$D$106,2,FALSE)</f>
        <v>mittel</v>
      </c>
      <c r="F82" s="70" t="str">
        <f>'12.lan'!$D$329</f>
        <v>Skalenwert eingeben: Wert muss im Bereich von 0 bis 10 liegen.</v>
      </c>
      <c r="G82" s="71"/>
      <c r="H82" s="72">
        <v>0</v>
      </c>
      <c r="I82" s="467">
        <f>IFERROR(J82*H82/10,0)</f>
        <v>0</v>
      </c>
      <c r="J82" s="73">
        <f>IFERROR($J$81*K82/SUM($K$82:$K$83),0)</f>
        <v>25</v>
      </c>
      <c r="K82" s="1">
        <f>VLOOKUP(D82,$C$102:$E$106,3,FALSE)</f>
        <v>1</v>
      </c>
      <c r="L82" s="1">
        <f>VLOOKUP(O82,$C$102:$E$106,3,FALSE)</f>
        <v>1</v>
      </c>
      <c r="M82" s="1">
        <f>VLOOKUP(D82,$C$102:$E$106,3,FALSE)</f>
        <v>1</v>
      </c>
      <c r="N82" s="66" t="str">
        <f>IF(L82=M82,"",'12.lan'!$D$240&amp;VLOOKUP(L82,$C$102:$D$106,2,FALSE)&amp;" ("&amp;L82&amp;")")</f>
        <v/>
      </c>
      <c r="O82" s="1">
        <f>C104</f>
        <v>1</v>
      </c>
    </row>
    <row r="83" spans="1:15" ht="30" customHeight="1">
      <c r="A83" s="2"/>
      <c r="B83" s="15" t="s">
        <v>85</v>
      </c>
      <c r="C83" s="15" t="str">
        <f>'12.lan'!D182</f>
        <v>Freiwillige Beiträge zur Stärkung des Gemeinwesens</v>
      </c>
      <c r="D83" s="68">
        <v>1</v>
      </c>
      <c r="E83" s="80" t="str">
        <f>VLOOKUP(D83,$C$102:$D$106,2,FALSE)</f>
        <v>mittel</v>
      </c>
      <c r="F83" s="70" t="str">
        <f>'12.lan'!$D$329</f>
        <v>Skalenwert eingeben: Wert muss im Bereich von 0 bis 10 liegen.</v>
      </c>
      <c r="G83" s="71"/>
      <c r="H83" s="72">
        <v>0</v>
      </c>
      <c r="I83" s="467">
        <f>IFERROR(J83*H83/10,0)</f>
        <v>0</v>
      </c>
      <c r="J83" s="73">
        <f>IFERROR($J$81*K83/SUM($K$82:$K$83),0)</f>
        <v>25</v>
      </c>
      <c r="K83" s="1">
        <f>VLOOKUP(D83,$C$102:$E$106,3,FALSE)</f>
        <v>1</v>
      </c>
      <c r="L83" s="1">
        <f>VLOOKUP(O83,$C$102:$E$106,3,FALSE)</f>
        <v>1</v>
      </c>
      <c r="M83" s="1">
        <f>VLOOKUP(D83,$C$102:$E$106,3,FALSE)</f>
        <v>1</v>
      </c>
      <c r="N83" s="66" t="str">
        <f>IF(L83=M83,"",'12.lan'!$D$240&amp;VLOOKUP(L83,$C$102:$D$106,2,FALSE)&amp;" ("&amp;L83&amp;")")</f>
        <v/>
      </c>
      <c r="O83" s="1">
        <f>C104</f>
        <v>1</v>
      </c>
    </row>
    <row r="84" spans="1:15" ht="30" customHeight="1">
      <c r="A84" s="2"/>
      <c r="B84" s="84" t="s">
        <v>86</v>
      </c>
      <c r="C84" s="84" t="str">
        <f>'12.lan'!D183</f>
        <v>Negativ-Aspekt: Illegitime Steuervermeidung</v>
      </c>
      <c r="D84" s="68"/>
      <c r="E84" s="80"/>
      <c r="F84" s="70" t="str">
        <f>'12.lan'!$D$330</f>
        <v>Negativpunkte eingeben: Werte müssen im Bereich von -200 bis 0 liegen.</v>
      </c>
      <c r="G84" s="71"/>
      <c r="H84" s="72">
        <v>0</v>
      </c>
      <c r="I84" s="467">
        <f>H84*J81/50</f>
        <v>0</v>
      </c>
      <c r="J84" s="73">
        <f>-200*J81/50</f>
        <v>-200</v>
      </c>
    </row>
    <row r="85" spans="1:15" ht="30" customHeight="1">
      <c r="A85" s="2"/>
      <c r="B85" s="84" t="s">
        <v>87</v>
      </c>
      <c r="C85" s="84" t="str">
        <f>'12.lan'!D184</f>
        <v>Negativ-Aspekt: Mangelnde Korruptionsprävention</v>
      </c>
      <c r="D85" s="68"/>
      <c r="E85" s="80"/>
      <c r="F85" s="70" t="str">
        <f>'12.lan'!$D$330</f>
        <v>Negativpunkte eingeben: Werte müssen im Bereich von -200 bis 0 liegen.</v>
      </c>
      <c r="G85" s="71"/>
      <c r="H85" s="72">
        <v>0</v>
      </c>
      <c r="I85" s="467">
        <f>H85*J81/50</f>
        <v>0</v>
      </c>
      <c r="J85" s="73">
        <f>-200*J81/50</f>
        <v>-200</v>
      </c>
    </row>
    <row r="86" spans="1:15" ht="33" customHeight="1">
      <c r="A86" s="2"/>
      <c r="B86" s="59" t="s">
        <v>88</v>
      </c>
      <c r="C86" s="60" t="str">
        <f>'12.lan'!D185</f>
        <v>Reduktion ökologischer Auswirkungen</v>
      </c>
      <c r="D86" s="61">
        <f>IF(K86="trifft nicht zu",C106,'9. Weighting'!O43)</f>
        <v>1</v>
      </c>
      <c r="E86" s="78" t="str">
        <f>VLOOKUP(D86,$C$102:$D$106,2,FALSE)</f>
        <v>mittel</v>
      </c>
      <c r="F86" s="75"/>
      <c r="G86" s="75"/>
      <c r="H86" s="64">
        <f>IF(J86&lt;&gt;0,SUM(I87:I89)/J86,"-")</f>
        <v>0</v>
      </c>
      <c r="I86" s="65">
        <f>IF(J86=0,0,H86*J86)</f>
        <v>0</v>
      </c>
      <c r="J86" s="65">
        <f>'9. Weighting'!O42</f>
        <v>50</v>
      </c>
      <c r="K86" s="1" t="str">
        <f>IF(AND(D87="trifft nicht zu",D88="trifft nicht zu"),"trifft nicht zu","")</f>
        <v/>
      </c>
      <c r="L86" s="1">
        <f>VLOOKUP(O86,$C$102:$E$106,3,FALSE)</f>
        <v>1</v>
      </c>
      <c r="M86" s="1">
        <f>VLOOKUP(D86,$C$102:$E$106,3,FALSE)</f>
        <v>1</v>
      </c>
      <c r="N86" s="66" t="str">
        <f>IF(L86=M86,"",'12.lan'!$D$240&amp;VLOOKUP(L86,$C$102:$D$106,2,FALSE)&amp;" ("&amp;L86&amp;")")</f>
        <v/>
      </c>
      <c r="O86" s="1">
        <f>IF(K86="trifft nicht zu",C106,'9. Weighting'!O43)</f>
        <v>1</v>
      </c>
    </row>
    <row r="87" spans="1:15" ht="30" customHeight="1">
      <c r="A87" s="2"/>
      <c r="B87" s="79" t="s">
        <v>89</v>
      </c>
      <c r="C87" s="67" t="str">
        <f>'12.lan'!D186</f>
        <v>Absolute Auswirkungen / Management &amp; Strategie</v>
      </c>
      <c r="D87" s="68">
        <f>C104</f>
        <v>1</v>
      </c>
      <c r="E87" s="80" t="str">
        <f>VLOOKUP(D87,$C$102:$D$106,2,FALSE)</f>
        <v>mittel</v>
      </c>
      <c r="F87" s="70" t="str">
        <f>'12.lan'!$D$329</f>
        <v>Skalenwert eingeben: Wert muss im Bereich von 0 bis 10 liegen.</v>
      </c>
      <c r="G87" s="71"/>
      <c r="H87" s="72">
        <v>0</v>
      </c>
      <c r="I87" s="467">
        <f>IFERROR(J87*H87/10,0)</f>
        <v>0</v>
      </c>
      <c r="J87" s="73">
        <f>IFERROR(J86*K87/SUM($K$87:$K$88),0)</f>
        <v>25</v>
      </c>
      <c r="K87" s="1">
        <f>VLOOKUP(D87,$C$102:$E$106,3,FALSE)</f>
        <v>1</v>
      </c>
      <c r="L87" s="1">
        <f>VLOOKUP(O87,$C$102:$E$106,3,FALSE)</f>
        <v>1</v>
      </c>
      <c r="M87" s="1">
        <f>VLOOKUP(D87,$C$102:$E$106,3,FALSE)</f>
        <v>1</v>
      </c>
      <c r="N87" s="66" t="str">
        <f>IF(L87=M87,"",'12.lan'!$D$240&amp;VLOOKUP(L87,$C$102:$D$106,2,FALSE)&amp;" ("&amp;L87&amp;")")</f>
        <v/>
      </c>
      <c r="O87" s="1">
        <f>C104</f>
        <v>1</v>
      </c>
    </row>
    <row r="88" spans="1:15" ht="30" customHeight="1">
      <c r="A88" s="2"/>
      <c r="B88" s="15" t="s">
        <v>90</v>
      </c>
      <c r="C88" s="23" t="str">
        <f>'12.lan'!D187</f>
        <v>Relative Auswirkungen</v>
      </c>
      <c r="D88" s="68">
        <f>C104</f>
        <v>1</v>
      </c>
      <c r="E88" s="80" t="str">
        <f>VLOOKUP(D88,$C$102:$D$106,2,FALSE)</f>
        <v>mittel</v>
      </c>
      <c r="F88" s="70" t="str">
        <f>'12.lan'!$D$329</f>
        <v>Skalenwert eingeben: Wert muss im Bereich von 0 bis 10 liegen.</v>
      </c>
      <c r="G88" s="71"/>
      <c r="H88" s="72">
        <v>0</v>
      </c>
      <c r="I88" s="467">
        <f>IFERROR(J88*H88/10,0)</f>
        <v>0</v>
      </c>
      <c r="J88" s="73">
        <f>IFERROR(J86*K88/SUM($K$87:$K$88),0)</f>
        <v>25</v>
      </c>
      <c r="K88" s="1">
        <f>VLOOKUP(D88,$C$102:$E$106,3,FALSE)</f>
        <v>1</v>
      </c>
      <c r="L88" s="1">
        <f>VLOOKUP(O88,$C$102:$E$106,3,FALSE)</f>
        <v>1</v>
      </c>
      <c r="M88" s="1">
        <f>VLOOKUP(D88,$C$102:$E$106,3,FALSE)</f>
        <v>1</v>
      </c>
      <c r="N88" s="66" t="str">
        <f>IF(L88=M88,"",'12.lan'!$D$240&amp;VLOOKUP(L88,$C$102:$D$106,2,FALSE)&amp;" ("&amp;L88&amp;")")</f>
        <v/>
      </c>
      <c r="O88" s="1">
        <f>C104</f>
        <v>1</v>
      </c>
    </row>
    <row r="89" spans="1:15" ht="33" customHeight="1">
      <c r="A89" s="2"/>
      <c r="B89" s="84" t="s">
        <v>91</v>
      </c>
      <c r="C89" s="83" t="str">
        <f>'12.lan'!D188</f>
        <v>Negativ-Aspekt: Verstöße gegen Umweltauflagen sowie unangemessene Umweltbelastungen</v>
      </c>
      <c r="D89" s="68"/>
      <c r="E89" s="80"/>
      <c r="F89" s="70" t="str">
        <f>'12.lan'!$D$330</f>
        <v>Negativpunkte eingeben: Werte müssen im Bereich von -200 bis 0 liegen.</v>
      </c>
      <c r="G89" s="71"/>
      <c r="H89" s="72">
        <v>0</v>
      </c>
      <c r="I89" s="467">
        <f>H89*J86/50</f>
        <v>0</v>
      </c>
      <c r="J89" s="73">
        <f>-200*J86/50</f>
        <v>-200</v>
      </c>
    </row>
    <row r="90" spans="1:15" ht="33" customHeight="1">
      <c r="A90" s="2"/>
      <c r="B90" s="59" t="s">
        <v>92</v>
      </c>
      <c r="C90" s="60" t="str">
        <f>'12.lan'!D189</f>
        <v>Transparenz und gesellschaftliche Mitentscheidung</v>
      </c>
      <c r="D90" s="61">
        <f>IF(K90="trifft nicht zu",C106,'9. Weighting'!P43)</f>
        <v>1</v>
      </c>
      <c r="E90" s="78" t="str">
        <f>VLOOKUP(D90,$C$102:$D$106,2,FALSE)</f>
        <v>mittel</v>
      </c>
      <c r="F90" s="75"/>
      <c r="G90" s="75"/>
      <c r="H90" s="64">
        <f>IF(J90&lt;&gt;0,SUM(I91:I93)/J90,"-")</f>
        <v>0</v>
      </c>
      <c r="I90" s="65">
        <f>IF(J90=0,0,H90*J90)</f>
        <v>0</v>
      </c>
      <c r="J90" s="65">
        <f>'9. Weighting'!P42</f>
        <v>50</v>
      </c>
      <c r="K90" s="1" t="str">
        <f>IF(AND(D91="trifft nicht zu",D92="trifft nicht zu"),"trifft nicht zu","")</f>
        <v/>
      </c>
      <c r="L90" s="1">
        <f>VLOOKUP(O90,$C$102:$E$106,3,FALSE)</f>
        <v>1</v>
      </c>
      <c r="M90" s="1">
        <f>VLOOKUP(D90,$C$102:$E$106,3,FALSE)</f>
        <v>1</v>
      </c>
      <c r="N90" s="66" t="str">
        <f>IF(L90=M90,"",'12.lan'!$D$240&amp;VLOOKUP(L90,$C$102:$D$106,2,FALSE)&amp;" ("&amp;L90&amp;")")</f>
        <v/>
      </c>
      <c r="O90" s="1">
        <f>IF(K90="trifft nicht zu",C106,'9. Weighting'!P43)</f>
        <v>1</v>
      </c>
    </row>
    <row r="91" spans="1:15" ht="30" customHeight="1">
      <c r="A91" s="2"/>
      <c r="B91" s="79" t="s">
        <v>93</v>
      </c>
      <c r="C91" s="67" t="str">
        <f>'12.lan'!D190</f>
        <v>Transparenz</v>
      </c>
      <c r="D91" s="68">
        <v>1</v>
      </c>
      <c r="E91" s="80" t="str">
        <f>VLOOKUP(D91,$C$102:$D$106,2,FALSE)</f>
        <v>mittel</v>
      </c>
      <c r="F91" s="70" t="str">
        <f>'12.lan'!$D$329</f>
        <v>Skalenwert eingeben: Wert muss im Bereich von 0 bis 10 liegen.</v>
      </c>
      <c r="G91" s="71"/>
      <c r="H91" s="72">
        <v>0</v>
      </c>
      <c r="I91" s="467">
        <f>IFERROR(J91*H91/10,0)</f>
        <v>0</v>
      </c>
      <c r="J91" s="73">
        <f>IFERROR($J$90*K91/SUM($K$91:$K$92),0)</f>
        <v>25</v>
      </c>
      <c r="K91" s="1">
        <f>VLOOKUP(D91,$C$102:$E$106,3,FALSE)</f>
        <v>1</v>
      </c>
      <c r="L91" s="1">
        <f>VLOOKUP(O91,$C$102:$E$106,3,FALSE)</f>
        <v>1</v>
      </c>
      <c r="M91" s="1">
        <f>VLOOKUP(D91,$C$102:$E$106,3,FALSE)</f>
        <v>1</v>
      </c>
      <c r="N91" s="66" t="str">
        <f>IF(L91=M91,"",'12.lan'!$D$240&amp;VLOOKUP(L91,$C$102:$D$106,2,FALSE)&amp;" ("&amp;L91&amp;")")</f>
        <v/>
      </c>
      <c r="O91" s="1">
        <f>C104</f>
        <v>1</v>
      </c>
    </row>
    <row r="92" spans="1:15" ht="30" customHeight="1">
      <c r="A92" s="2"/>
      <c r="B92" s="79" t="s">
        <v>94</v>
      </c>
      <c r="C92" s="67" t="str">
        <f>'12.lan'!D191</f>
        <v>Gesellschaftliche Mitbestimmung</v>
      </c>
      <c r="D92" s="68">
        <f>C104</f>
        <v>1</v>
      </c>
      <c r="E92" s="80" t="str">
        <f>VLOOKUP(D92,$C$102:$D$106,2,FALSE)</f>
        <v>mittel</v>
      </c>
      <c r="F92" s="70" t="str">
        <f>'12.lan'!$D$329</f>
        <v>Skalenwert eingeben: Wert muss im Bereich von 0 bis 10 liegen.</v>
      </c>
      <c r="G92" s="71"/>
      <c r="H92" s="72">
        <v>0</v>
      </c>
      <c r="I92" s="467">
        <f>IFERROR(J92*H92/10,0)</f>
        <v>0</v>
      </c>
      <c r="J92" s="73">
        <f>IFERROR($J$90*K92/SUM($K$91:$K$92),0)</f>
        <v>25</v>
      </c>
      <c r="K92" s="1">
        <f>VLOOKUP(D92,$C$102:$E$106,3,FALSE)</f>
        <v>1</v>
      </c>
      <c r="L92" s="1">
        <f>VLOOKUP(O92,$C$102:$E$106,3,FALSE)</f>
        <v>1</v>
      </c>
      <c r="M92" s="1">
        <f>VLOOKUP(D92,$C$102:$E$106,3,FALSE)</f>
        <v>1</v>
      </c>
      <c r="N92" s="66" t="str">
        <f>IF(L92=M92,"",'12.lan'!$D$240&amp;VLOOKUP(L92,$C$102:$D$106,2,FALSE)&amp;" ("&amp;L92&amp;")")</f>
        <v/>
      </c>
      <c r="O92" s="1">
        <f>C104</f>
        <v>1</v>
      </c>
    </row>
    <row r="93" spans="1:15" ht="33.75" customHeight="1">
      <c r="A93" s="2"/>
      <c r="B93" s="79" t="s">
        <v>95</v>
      </c>
      <c r="C93" s="67" t="str">
        <f>'12.lan'!D192</f>
        <v>Negativ-Aspekt: Förderung von Intransparenz und bewusste Fehlinformation</v>
      </c>
      <c r="D93" s="68"/>
      <c r="E93" s="80"/>
      <c r="F93" s="70" t="str">
        <f>'12.lan'!$D$330</f>
        <v>Negativpunkte eingeben: Werte müssen im Bereich von -200 bis 0 liegen.</v>
      </c>
      <c r="G93" s="71"/>
      <c r="H93" s="72">
        <v>0</v>
      </c>
      <c r="I93" s="467">
        <f>H93*J90/50</f>
        <v>0</v>
      </c>
      <c r="J93" s="73">
        <f>-200*J90/50</f>
        <v>-200</v>
      </c>
    </row>
    <row r="94" spans="1:15" ht="12.75" customHeight="1">
      <c r="A94" s="2"/>
      <c r="B94" s="10"/>
      <c r="C94" s="16"/>
      <c r="D94" s="41"/>
      <c r="E94" s="41"/>
      <c r="F94" s="10"/>
      <c r="G94" s="10"/>
      <c r="H94" s="41"/>
      <c r="I94" s="42"/>
      <c r="J94" s="43"/>
    </row>
    <row r="95" spans="1:15" ht="18.75" customHeight="1">
      <c r="A95" s="2"/>
      <c r="B95" s="494" t="str">
        <f>'12.lan'!D92</f>
        <v>BILANZSUMME:</v>
      </c>
      <c r="C95" s="494"/>
      <c r="D95" s="494"/>
      <c r="E95" s="494"/>
      <c r="F95" s="494"/>
      <c r="G95" s="494"/>
      <c r="H95" s="495">
        <f>H4</f>
        <v>0</v>
      </c>
      <c r="I95" s="496">
        <f>I4</f>
        <v>0</v>
      </c>
      <c r="J95" s="496">
        <f>J4</f>
        <v>1000</v>
      </c>
    </row>
    <row r="96" spans="1:15" ht="18" customHeight="1">
      <c r="A96" s="2"/>
      <c r="B96" s="494"/>
      <c r="C96" s="494"/>
      <c r="D96" s="494"/>
      <c r="E96" s="494"/>
      <c r="F96" s="494"/>
      <c r="G96" s="494"/>
      <c r="H96" s="495"/>
      <c r="I96" s="496"/>
      <c r="J96" s="496"/>
    </row>
    <row r="102" spans="2:5" ht="12.75" hidden="1" customHeight="1">
      <c r="B102" s="36">
        <v>2</v>
      </c>
      <c r="C102" s="37">
        <v>2</v>
      </c>
      <c r="D102" s="38" t="str">
        <f>'12.lan'!D97</f>
        <v>sehr hoch</v>
      </c>
      <c r="E102" s="39">
        <v>2</v>
      </c>
    </row>
    <row r="103" spans="2:5" ht="12.75" hidden="1" customHeight="1">
      <c r="B103" s="36">
        <v>1.5</v>
      </c>
      <c r="C103" s="37">
        <v>1.5</v>
      </c>
      <c r="D103" s="38" t="str">
        <f>'12.lan'!D98</f>
        <v>hoch</v>
      </c>
      <c r="E103" s="91">
        <v>1.5</v>
      </c>
    </row>
    <row r="104" spans="2:5" ht="12.75" hidden="1" customHeight="1">
      <c r="B104" s="36">
        <v>1</v>
      </c>
      <c r="C104" s="37">
        <v>1</v>
      </c>
      <c r="D104" s="38" t="str">
        <f>'12.lan'!D99</f>
        <v>mittel</v>
      </c>
      <c r="E104" s="39">
        <v>1</v>
      </c>
    </row>
    <row r="105" spans="2:5" ht="12.75" hidden="1" customHeight="1">
      <c r="B105" s="36">
        <v>0.5</v>
      </c>
      <c r="C105" s="37">
        <v>0.5</v>
      </c>
      <c r="D105" s="38" t="str">
        <f>'12.lan'!D100</f>
        <v>niedrig</v>
      </c>
      <c r="E105" s="91">
        <v>0.5</v>
      </c>
    </row>
    <row r="106" spans="2:5" ht="12.75" hidden="1" customHeight="1">
      <c r="B106" s="36">
        <v>0</v>
      </c>
      <c r="C106" s="37">
        <v>0</v>
      </c>
      <c r="D106" s="38" t="str">
        <f>'12.lan'!D101</f>
        <v>trifft nicht zu</v>
      </c>
      <c r="E106" s="39">
        <v>0</v>
      </c>
    </row>
    <row r="107" spans="2:5" ht="12.75" hidden="1" customHeight="1"/>
  </sheetData>
  <sheetProtection algorithmName="SHA-512" hashValue="YljB7sY8NITBJmSeM8KOlK/wfci9hOQZktOqM68LFRtY1Hb+cXgfXemchyNWnF3IpGGm4PtmiZDT4QWgt2MysA==" saltValue="rUJ7fzrp/SRGBx4PcQq65Q==" spinCount="100000" sheet="1" objects="1" scenarios="1"/>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dxfId="14" priority="9" operator="lessThan">
      <formula>0</formula>
    </cfRule>
  </conditionalFormatting>
  <conditionalFormatting sqref="H10">
    <cfRule type="cellIs" dxfId="13" priority="7" operator="lessThan">
      <formula>0</formula>
    </cfRule>
  </conditionalFormatting>
  <conditionalFormatting sqref="H13">
    <cfRule type="cellIs" dxfId="12" priority="6" operator="lessThan">
      <formula>0</formula>
    </cfRule>
  </conditionalFormatting>
  <conditionalFormatting sqref="H17">
    <cfRule type="cellIs" dxfId="11" priority="5" operator="lessThan">
      <formula>0</formula>
    </cfRule>
  </conditionalFormatting>
  <conditionalFormatting sqref="H20">
    <cfRule type="cellIs" dxfId="10" priority="4" operator="lessThan">
      <formula>0</formula>
    </cfRule>
  </conditionalFormatting>
  <conditionalFormatting sqref="H28 H31 H35 H44 H49 H54 H59:H60 H64 H68 H72 H81 H86 H90 H76:H77 H38:H39 H23:H24">
    <cfRule type="cellIs" dxfId="9" priority="3" operator="lessThan">
      <formula>0</formula>
    </cfRule>
  </conditionalFormatting>
  <conditionalFormatting sqref="H95:H96">
    <cfRule type="cellIs" dxfId="8" priority="2" operator="lessThan">
      <formula>0</formula>
    </cfRule>
  </conditionalFormatting>
  <conditionalFormatting sqref="H9">
    <cfRule type="cellIs" dxfId="7" priority="1" operator="lessThan">
      <formula>0</formula>
    </cfRule>
  </conditionalFormatting>
  <dataValidations count="7">
    <dataValidation type="list" operator="equal" allowBlank="1" showInputMessage="1" showErrorMessage="1" promptTitle="Gewichtung" sqref="D10 D13:D15 D17 D20:D22 D24:D28 D31:D33 D35 D39:D42 D44:D47 D49:D52 D54:D57 D60:D62 D64:D66 D68:D70 D72:D74 D77:D79 D81:D83 D86:D88 D90:D92" xr:uid="{00000000-0002-0000-0300-000000000000}">
      <formula1>$C$102:$C$106</formula1>
      <formula2>0</formula2>
    </dataValidation>
    <dataValidation operator="equal" allowBlank="1" showInputMessage="1" showErrorMessage="1" promptTitle="Gewichtung" sqref="D11:D12 D16 D18:D19 E10:E22 E24:E28 D30:E30 E31:E37 D34 D36:D37 E39:E58 D43 D48 D53 D58 E60:E75 D63 D67 D71 D75 E77:E93 D80 D84:D85 D89 D93" xr:uid="{00000000-0002-0000-0300-000001000000}">
      <formula1>0</formula1>
      <formula2>0</formula2>
    </dataValidation>
    <dataValidation type="decimal" allowBlank="1" showInputMessage="1" showErrorMessage="1" errorTitle="Value" error="Value has to be between 0 and 10." sqref="H11 H14:H15 H18 H25:H27 H21:H22 H29 H32:H33 H36 H40:H42 H45:H47 H50:H52 H55:H57 H61:H62 H65:H66 H69:H70 H73:H74 H78:H79 H82:H83 H87:H88 H91:H92" xr:uid="{00000000-0002-0000-0300-000002000000}">
      <formula1>0</formula1>
      <formula2>10</formula2>
    </dataValidation>
    <dataValidation type="decimal" allowBlank="1" showErrorMessage="1" errorTitle="Value" error="Value has to be between -200 and 0." sqref="H93 H89 H84:H85 H80 H75 H71 H67 H63 H58 H53 H48 H43 H37 H34 H30 H19 H16 H12" xr:uid="{00000000-0002-0000-0300-000003000000}">
      <formula1>-200</formula1>
      <formula2>0</formula2>
    </dataValidation>
    <dataValidation type="list" allowBlank="1" showInputMessage="1" showErrorMessage="1" sqref="D9" xr:uid="{00000000-0002-0000-0300-000004000000}">
      <formula1>C102:C106</formula1>
    </dataValidation>
    <dataValidation type="list" allowBlank="1" showInputMessage="1" showErrorMessage="1" sqref="D23" xr:uid="{00000000-0002-0000-0300-000005000000}">
      <formula1>C102:C106</formula1>
    </dataValidation>
    <dataValidation type="list" allowBlank="1" showInputMessage="1" showErrorMessage="1" sqref="D38 D59 D76" xr:uid="{00000000-0002-0000-0300-000006000000}">
      <formula1>$C$102:$C$106</formula1>
    </dataValidation>
  </dataValidations>
  <pageMargins left="0.43333333333333335" right="0.47222222222222221" top="0.39374999999999999" bottom="0.39374999999999999" header="0.51180555555555551" footer="0.51180555555555551"/>
  <pageSetup paperSize="9" firstPageNumber="0" fitToHeight="1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dimension ref="A1:Y163"/>
  <sheetViews>
    <sheetView zoomScale="75" zoomScaleNormal="75" workbookViewId="0">
      <pane xSplit="2" ySplit="9" topLeftCell="C10" activePane="bottomRight" state="frozen"/>
      <selection pane="topRight" activeCell="C1" sqref="C1"/>
      <selection pane="bottomLeft" activeCell="A30" sqref="A30"/>
      <selection pane="bottomRight"/>
    </sheetView>
  </sheetViews>
  <sheetFormatPr baseColWidth="10" defaultColWidth="10.33203125" defaultRowHeight="12" customHeight="1"/>
  <cols>
    <col min="1" max="2" width="1.33203125" style="92" customWidth="1"/>
    <col min="3" max="4" width="2.33203125" style="92" customWidth="1"/>
    <col min="5" max="5" width="8.33203125" style="92" customWidth="1"/>
    <col min="6" max="6" width="40.83203125" style="92" customWidth="1"/>
    <col min="7" max="7" width="27.33203125" style="92" customWidth="1"/>
    <col min="8" max="8" width="17.33203125" style="92" customWidth="1"/>
    <col min="9" max="9" width="12.33203125" style="92" customWidth="1"/>
    <col min="10" max="10" width="36.33203125" style="92" customWidth="1"/>
    <col min="11" max="11" width="12.6640625" style="92" customWidth="1"/>
    <col min="12" max="12" width="3.33203125" style="92" customWidth="1"/>
    <col min="13" max="15" width="13.33203125" style="93" customWidth="1"/>
    <col min="16" max="16" width="14.33203125" style="93" customWidth="1"/>
    <col min="17" max="17" width="1.33203125" style="92" customWidth="1"/>
    <col min="18" max="18" width="10.33203125" style="92" customWidth="1"/>
    <col min="19" max="25" width="10.33203125" style="94" customWidth="1"/>
    <col min="26" max="16384" width="10.33203125" style="92"/>
  </cols>
  <sheetData>
    <row r="1" spans="1:18" ht="6.75" customHeight="1">
      <c r="A1" s="94"/>
      <c r="B1" s="94"/>
      <c r="C1" s="94"/>
      <c r="D1" s="94"/>
      <c r="E1" s="94"/>
      <c r="F1" s="94"/>
      <c r="G1" s="94"/>
      <c r="H1" s="94"/>
      <c r="I1" s="94"/>
      <c r="J1" s="94"/>
      <c r="K1" s="94"/>
      <c r="L1" s="94"/>
      <c r="M1" s="95"/>
      <c r="N1" s="95"/>
      <c r="O1" s="95"/>
      <c r="P1" s="95"/>
      <c r="Q1" s="94"/>
      <c r="R1" s="94"/>
    </row>
    <row r="2" spans="1:18" ht="7.5" customHeight="1">
      <c r="A2" s="94"/>
      <c r="B2" s="94"/>
      <c r="C2" s="94"/>
      <c r="D2" s="94"/>
      <c r="E2" s="94"/>
      <c r="F2" s="94"/>
      <c r="G2" s="94"/>
      <c r="H2" s="94"/>
      <c r="I2" s="94"/>
      <c r="J2" s="94"/>
      <c r="K2" s="94"/>
      <c r="L2" s="94"/>
      <c r="M2" s="95"/>
      <c r="N2" s="95"/>
      <c r="O2" s="95"/>
      <c r="P2" s="95"/>
      <c r="Q2" s="94"/>
      <c r="R2" s="94"/>
    </row>
    <row r="3" spans="1:18" ht="6.75" customHeight="1">
      <c r="A3" s="94"/>
      <c r="B3" s="96"/>
      <c r="C3" s="97"/>
      <c r="D3" s="98"/>
      <c r="E3" s="98"/>
      <c r="F3" s="98"/>
      <c r="G3" s="98"/>
      <c r="H3" s="98"/>
      <c r="I3" s="98"/>
      <c r="J3" s="98"/>
      <c r="K3" s="98"/>
      <c r="L3" s="98"/>
      <c r="M3" s="99"/>
      <c r="N3" s="99"/>
      <c r="O3" s="99"/>
      <c r="P3" s="99"/>
      <c r="Q3" s="100"/>
      <c r="R3" s="94"/>
    </row>
    <row r="4" spans="1:18" ht="42" customHeight="1">
      <c r="A4" s="94"/>
      <c r="B4" s="101"/>
      <c r="C4" s="102"/>
      <c r="D4" s="103"/>
      <c r="E4" s="535" t="s">
        <v>96</v>
      </c>
      <c r="F4" s="535"/>
      <c r="G4" s="535"/>
      <c r="H4" s="535"/>
      <c r="I4" s="535"/>
      <c r="J4" s="535"/>
      <c r="K4" s="536" t="s">
        <v>97</v>
      </c>
      <c r="L4" s="536"/>
      <c r="M4" s="531" t="s">
        <v>98</v>
      </c>
      <c r="N4" s="531" t="s">
        <v>99</v>
      </c>
      <c r="O4" s="531" t="s">
        <v>100</v>
      </c>
      <c r="P4" s="531" t="s">
        <v>101</v>
      </c>
      <c r="Q4" s="104"/>
      <c r="R4" s="94"/>
    </row>
    <row r="5" spans="1:18" ht="24.75" customHeight="1">
      <c r="A5" s="94"/>
      <c r="B5" s="105" t="s">
        <v>102</v>
      </c>
      <c r="C5" s="106"/>
      <c r="D5" s="105"/>
      <c r="E5" s="535"/>
      <c r="F5" s="535"/>
      <c r="G5" s="535"/>
      <c r="H5" s="535"/>
      <c r="I5" s="535"/>
      <c r="J5" s="535"/>
      <c r="K5" s="536"/>
      <c r="L5" s="536"/>
      <c r="M5" s="531"/>
      <c r="N5" s="531"/>
      <c r="O5" s="531"/>
      <c r="P5" s="531"/>
      <c r="Q5" s="104"/>
      <c r="R5" s="94"/>
    </row>
    <row r="6" spans="1:18" ht="12.75" customHeight="1">
      <c r="A6" s="94"/>
      <c r="B6" s="105" t="s">
        <v>103</v>
      </c>
      <c r="C6" s="106"/>
      <c r="D6" s="105"/>
      <c r="E6" s="535"/>
      <c r="F6" s="535"/>
      <c r="G6" s="535"/>
      <c r="H6" s="535"/>
      <c r="I6" s="535"/>
      <c r="J6" s="535"/>
      <c r="K6" s="536"/>
      <c r="L6" s="536"/>
      <c r="M6" s="531"/>
      <c r="N6" s="531"/>
      <c r="O6" s="531"/>
      <c r="P6" s="531"/>
      <c r="Q6" s="104"/>
      <c r="R6" s="94"/>
    </row>
    <row r="7" spans="1:18" ht="41.25" customHeight="1">
      <c r="A7" s="94"/>
      <c r="B7" s="105"/>
      <c r="C7" s="106"/>
      <c r="D7" s="105"/>
      <c r="E7" s="107"/>
      <c r="F7" s="532"/>
      <c r="G7" s="532"/>
      <c r="H7" s="533" t="s">
        <v>104</v>
      </c>
      <c r="I7" s="533"/>
      <c r="J7" s="108" t="s">
        <v>105</v>
      </c>
      <c r="K7" s="536"/>
      <c r="L7" s="536"/>
      <c r="M7" s="531"/>
      <c r="N7" s="531"/>
      <c r="O7" s="531"/>
      <c r="P7" s="531"/>
      <c r="Q7" s="104"/>
      <c r="R7" s="94"/>
    </row>
    <row r="8" spans="1:18" ht="57" customHeight="1">
      <c r="A8" s="94"/>
      <c r="B8" s="109"/>
      <c r="C8" s="110"/>
      <c r="D8" s="109"/>
      <c r="E8" s="111"/>
      <c r="F8" s="534" t="s">
        <v>106</v>
      </c>
      <c r="G8" s="534"/>
      <c r="H8" s="534"/>
      <c r="I8" s="534"/>
      <c r="J8" s="534"/>
      <c r="K8" s="112"/>
      <c r="L8" s="112"/>
      <c r="M8" s="531"/>
      <c r="N8" s="531"/>
      <c r="O8" s="531"/>
      <c r="P8" s="531"/>
      <c r="Q8" s="104"/>
      <c r="R8" s="94"/>
    </row>
    <row r="9" spans="1:18" ht="15" customHeight="1">
      <c r="A9" s="94"/>
      <c r="B9" s="109"/>
      <c r="C9" s="110"/>
      <c r="D9" s="109"/>
      <c r="E9" s="111"/>
      <c r="F9" s="399"/>
      <c r="G9" s="399"/>
      <c r="H9" s="399"/>
      <c r="I9" s="399"/>
      <c r="J9" s="399"/>
      <c r="K9" s="112"/>
      <c r="L9" s="112"/>
      <c r="M9" s="113">
        <f>M15+M23+M29+M36+M42</f>
        <v>250</v>
      </c>
      <c r="N9" s="113">
        <f>N15+N23+N29+N36+N42</f>
        <v>250</v>
      </c>
      <c r="O9" s="113">
        <f>O15+O23+O29+O36+O42</f>
        <v>250</v>
      </c>
      <c r="P9" s="113">
        <f>P15+P23+P29+P36+P42</f>
        <v>250</v>
      </c>
      <c r="Q9" s="104"/>
      <c r="R9" s="94"/>
    </row>
    <row r="10" spans="1:18" ht="21" customHeight="1">
      <c r="A10" s="94"/>
      <c r="B10" s="528"/>
      <c r="C10" s="114"/>
      <c r="D10" s="115"/>
      <c r="E10" s="116"/>
      <c r="F10" s="529" t="s">
        <v>107</v>
      </c>
      <c r="G10" s="529"/>
      <c r="H10" s="529"/>
      <c r="I10" s="117">
        <f>'2. Company Facts'!C7</f>
        <v>0</v>
      </c>
      <c r="J10" s="510" t="s">
        <v>108</v>
      </c>
      <c r="K10" s="530">
        <f>K49</f>
        <v>1</v>
      </c>
      <c r="L10" s="512">
        <f>M15+N15+O15+P15</f>
        <v>200</v>
      </c>
      <c r="M10" s="526" t="s">
        <v>13</v>
      </c>
      <c r="N10" s="508" t="s">
        <v>16</v>
      </c>
      <c r="O10" s="508" t="s">
        <v>20</v>
      </c>
      <c r="P10" s="509" t="s">
        <v>23</v>
      </c>
      <c r="Q10" s="118"/>
      <c r="R10" s="94"/>
    </row>
    <row r="11" spans="1:18" ht="13.5" customHeight="1">
      <c r="A11" s="94"/>
      <c r="B11" s="528"/>
      <c r="C11" s="119"/>
      <c r="E11" s="120"/>
      <c r="F11" s="527"/>
      <c r="G11" s="527"/>
      <c r="H11" s="527"/>
      <c r="I11" s="527"/>
      <c r="J11" s="510"/>
      <c r="K11" s="530"/>
      <c r="L11" s="530"/>
      <c r="M11" s="526"/>
      <c r="N11" s="508"/>
      <c r="O11" s="508"/>
      <c r="P11" s="509"/>
      <c r="Q11" s="104"/>
      <c r="R11" s="94"/>
    </row>
    <row r="12" spans="1:18" ht="21.75" customHeight="1">
      <c r="A12" s="94"/>
      <c r="B12" s="528"/>
      <c r="C12" s="110"/>
      <c r="D12" s="109"/>
      <c r="E12" s="120" t="s">
        <v>109</v>
      </c>
      <c r="F12" s="121" t="s">
        <v>110</v>
      </c>
      <c r="G12" s="122" t="s">
        <v>111</v>
      </c>
      <c r="H12" s="122" t="s">
        <v>112</v>
      </c>
      <c r="I12" s="121" t="s">
        <v>113</v>
      </c>
      <c r="J12" s="510"/>
      <c r="K12" s="530"/>
      <c r="L12" s="530"/>
      <c r="M12" s="123"/>
      <c r="N12" s="124"/>
      <c r="O12" s="124"/>
      <c r="P12" s="125"/>
      <c r="Q12" s="104"/>
      <c r="R12" s="94"/>
    </row>
    <row r="13" spans="1:18" ht="15" customHeight="1">
      <c r="A13" s="94"/>
      <c r="B13" s="528"/>
      <c r="C13" s="110"/>
      <c r="D13" s="109"/>
      <c r="E13" s="120" t="str">
        <f>LEFT(F13,2)</f>
        <v>Bi</v>
      </c>
      <c r="F13" s="126" t="str">
        <f>'2. Company Facts'!B10</f>
        <v>Bitte Auswählen</v>
      </c>
      <c r="G13" s="127" t="str">
        <f>'2. Company Facts'!C10</f>
        <v>bitte einfügen</v>
      </c>
      <c r="H13" s="127" t="str">
        <f>'2. Company Facts'!D10</f>
        <v>Bitte Auswählen</v>
      </c>
      <c r="I13" s="128">
        <f>'2. Company Facts'!F10</f>
        <v>0</v>
      </c>
      <c r="J13" s="510"/>
      <c r="K13" s="530"/>
      <c r="L13" s="530"/>
      <c r="M13" s="129"/>
      <c r="N13" s="130"/>
      <c r="O13" s="130"/>
      <c r="P13" s="131"/>
      <c r="Q13" s="104"/>
      <c r="R13" s="94"/>
    </row>
    <row r="14" spans="1:18" ht="15" customHeight="1">
      <c r="A14" s="94"/>
      <c r="B14" s="528"/>
      <c r="C14" s="132"/>
      <c r="D14" s="133"/>
      <c r="E14" s="120" t="str">
        <f>LEFT(F14,2)</f>
        <v>Bi</v>
      </c>
      <c r="F14" s="134" t="str">
        <f>'2. Company Facts'!B11</f>
        <v>Bitte Auswählen</v>
      </c>
      <c r="G14" s="135" t="str">
        <f>'2. Company Facts'!C11</f>
        <v>bitte einfügen</v>
      </c>
      <c r="H14" s="135" t="str">
        <f>'2. Company Facts'!D11</f>
        <v>Bitte Auswählen</v>
      </c>
      <c r="I14" s="136">
        <f>'2. Company Facts'!F11</f>
        <v>0</v>
      </c>
      <c r="J14" s="510"/>
      <c r="K14" s="530"/>
      <c r="L14" s="530"/>
      <c r="M14" s="137">
        <f>'3. Calc'!D10</f>
        <v>1</v>
      </c>
      <c r="N14" s="138">
        <f>'3. Calc'!D13</f>
        <v>1</v>
      </c>
      <c r="O14" s="139">
        <f>'3. Calc'!D17</f>
        <v>1</v>
      </c>
      <c r="P14" s="140">
        <f>'3. Calc'!D20</f>
        <v>1</v>
      </c>
      <c r="Q14" s="141">
        <f>'11.Region'!U10</f>
        <v>0</v>
      </c>
      <c r="R14" s="94"/>
    </row>
    <row r="15" spans="1:18" ht="15" customHeight="1">
      <c r="A15" s="94"/>
      <c r="B15" s="133"/>
      <c r="C15" s="132"/>
      <c r="D15" s="133"/>
      <c r="E15" s="120" t="str">
        <f>LEFT(F15,2)</f>
        <v>Bi</v>
      </c>
      <c r="F15" s="142" t="str">
        <f>'2. Company Facts'!B12</f>
        <v>Bitte Auswählen</v>
      </c>
      <c r="G15" s="135" t="str">
        <f>'2. Company Facts'!C12</f>
        <v>bitte einfügen</v>
      </c>
      <c r="H15" s="135" t="str">
        <f>'2. Company Facts'!D12</f>
        <v>Bitte Auswählen</v>
      </c>
      <c r="I15" s="136">
        <f>'2. Company Facts'!F12</f>
        <v>0</v>
      </c>
      <c r="J15" s="510"/>
      <c r="K15" s="530"/>
      <c r="L15" s="530"/>
      <c r="M15" s="143">
        <f>M49</f>
        <v>50</v>
      </c>
      <c r="N15" s="144">
        <f>N49</f>
        <v>50</v>
      </c>
      <c r="O15" s="144">
        <f>O49</f>
        <v>50</v>
      </c>
      <c r="P15" s="145">
        <f>P49</f>
        <v>50</v>
      </c>
      <c r="Q15" s="141"/>
      <c r="R15" s="94"/>
    </row>
    <row r="16" spans="1:18" ht="15" customHeight="1" thickBot="1">
      <c r="A16" s="94"/>
      <c r="B16" s="105"/>
      <c r="C16" s="106"/>
      <c r="D16" s="105"/>
      <c r="E16" s="120" t="str">
        <f>LEFT(F16,2)</f>
        <v>Bi</v>
      </c>
      <c r="F16" s="142" t="str">
        <f>'2. Company Facts'!B13</f>
        <v>Bitte Auswählen</v>
      </c>
      <c r="G16" s="135" t="str">
        <f>'2. Company Facts'!C13</f>
        <v>bitte einfügen</v>
      </c>
      <c r="H16" s="135" t="str">
        <f>'2. Company Facts'!D13</f>
        <v>Bitte Auswählen</v>
      </c>
      <c r="I16" s="136">
        <f>'2. Company Facts'!F13</f>
        <v>0</v>
      </c>
      <c r="J16" s="510"/>
      <c r="K16" s="530"/>
      <c r="L16" s="530"/>
      <c r="M16" s="146">
        <f>IF(G69="empty",1,'3. Calc'!C104)</f>
        <v>1</v>
      </c>
      <c r="N16" s="147">
        <f>IF(G69="empty",1,'3. Calc'!C104)</f>
        <v>1</v>
      </c>
      <c r="O16" s="147">
        <f>IF(G69="empty",1,IFERROR(IF('11.Region'!N8&gt;1.5,'3. Calc'!C102,IF('11.Region'!N8&gt;1.25,'3. Calc'!C103,IF('11.Region'!N8&lt;0.75,'3. Calc'!C105,'3. Calc'!C104))),'3. Calc'!C104))</f>
        <v>1</v>
      </c>
      <c r="P16" s="148">
        <f>IF(G69="empty",1,IF('11.Region'!I9&lt;1.5,'3. Calc'!C105,IF('11.Region'!I9&lt;3.26,'3. Calc'!C104,IF('11.Region'!I9&lt;4.5,'3. Calc'!C103,'3. Calc'!C102))))</f>
        <v>1</v>
      </c>
      <c r="Q16" s="141"/>
      <c r="R16" s="94"/>
    </row>
    <row r="17" spans="1:18" ht="15" customHeight="1" thickBot="1">
      <c r="A17" s="94"/>
      <c r="B17" s="105"/>
      <c r="C17" s="106"/>
      <c r="D17" s="105"/>
      <c r="E17" s="120" t="str">
        <f>LEFT(F17,2)</f>
        <v>Bi</v>
      </c>
      <c r="F17" s="149" t="str">
        <f>'2. Company Facts'!B14</f>
        <v>Bitte Auswählen</v>
      </c>
      <c r="G17" s="150" t="str">
        <f>'2. Company Facts'!C14</f>
        <v>bitte einfügen</v>
      </c>
      <c r="H17" s="135" t="str">
        <f>'2. Company Facts'!D14</f>
        <v>Bitte Auswählen</v>
      </c>
      <c r="I17" s="136">
        <f>'2. Company Facts'!F14</f>
        <v>0</v>
      </c>
      <c r="J17" s="510"/>
      <c r="K17" s="530"/>
      <c r="L17" s="530"/>
      <c r="M17" s="129"/>
      <c r="N17" s="130"/>
      <c r="O17" s="130"/>
      <c r="P17" s="131"/>
      <c r="Q17" s="141"/>
      <c r="R17" s="94"/>
    </row>
    <row r="18" spans="1:18" ht="15.75" customHeight="1" thickTop="1" thickBot="1">
      <c r="A18" s="94"/>
      <c r="B18" s="152"/>
      <c r="C18" s="153"/>
      <c r="D18" s="154"/>
      <c r="E18" s="155"/>
      <c r="F18" s="156" t="s">
        <v>114</v>
      </c>
      <c r="G18" s="156"/>
      <c r="H18" s="395" t="str">
        <f>'2. Company Facts'!D15</f>
        <v>Bitte Auswählen</v>
      </c>
      <c r="I18" s="151">
        <f>'2. Company Facts'!F15</f>
        <v>0</v>
      </c>
      <c r="J18" s="510"/>
      <c r="K18" s="530"/>
      <c r="L18" s="530"/>
      <c r="M18" s="157"/>
      <c r="N18" s="158"/>
      <c r="O18" s="158"/>
      <c r="P18" s="159"/>
      <c r="Q18" s="160"/>
      <c r="R18" s="94"/>
    </row>
    <row r="19" spans="1:18" ht="13.5" customHeight="1" thickTop="1" thickBot="1">
      <c r="A19" s="94"/>
      <c r="B19" s="133"/>
      <c r="C19" s="132"/>
      <c r="D19" s="133"/>
      <c r="E19" s="120"/>
      <c r="F19" s="521" t="s">
        <v>115</v>
      </c>
      <c r="G19" s="521"/>
      <c r="H19" s="521"/>
      <c r="I19" s="161">
        <f>'2. Company Facts'!C18</f>
        <v>0</v>
      </c>
      <c r="J19" s="517" t="s">
        <v>116</v>
      </c>
      <c r="K19" s="511">
        <f>K50</f>
        <v>1</v>
      </c>
      <c r="L19" s="512">
        <f>M23+N23+O23+P23</f>
        <v>200</v>
      </c>
      <c r="M19" s="524" t="s">
        <v>27</v>
      </c>
      <c r="N19" s="514" t="s">
        <v>31</v>
      </c>
      <c r="O19" s="514" t="s">
        <v>34</v>
      </c>
      <c r="P19" s="515" t="s">
        <v>38</v>
      </c>
      <c r="Q19" s="141"/>
      <c r="R19" s="94"/>
    </row>
    <row r="20" spans="1:18" ht="15" customHeight="1">
      <c r="A20" s="94"/>
      <c r="B20" s="133"/>
      <c r="C20" s="132"/>
      <c r="D20" s="133"/>
      <c r="E20" s="120"/>
      <c r="F20" s="523" t="s">
        <v>117</v>
      </c>
      <c r="G20" s="523"/>
      <c r="H20" s="523"/>
      <c r="I20" s="162" t="str">
        <f>IFERROR(I19/I32,"-")</f>
        <v>-</v>
      </c>
      <c r="J20" s="517"/>
      <c r="K20" s="511"/>
      <c r="L20" s="511"/>
      <c r="M20" s="524"/>
      <c r="N20" s="514" t="s">
        <v>118</v>
      </c>
      <c r="O20" s="514"/>
      <c r="P20" s="515" t="s">
        <v>119</v>
      </c>
      <c r="Q20" s="141"/>
      <c r="R20" s="94"/>
    </row>
    <row r="21" spans="1:18" ht="15" customHeight="1">
      <c r="A21" s="94"/>
      <c r="B21" s="133"/>
      <c r="C21" s="132"/>
      <c r="D21" s="133"/>
      <c r="E21" s="120"/>
      <c r="F21" s="520" t="s">
        <v>120</v>
      </c>
      <c r="G21" s="520"/>
      <c r="H21" s="520"/>
      <c r="I21" s="163">
        <f>'2. Company Facts'!C19</f>
        <v>0</v>
      </c>
      <c r="J21" s="517"/>
      <c r="K21" s="511"/>
      <c r="L21" s="511"/>
      <c r="M21" s="123"/>
      <c r="N21" s="124"/>
      <c r="O21" s="124"/>
      <c r="P21" s="125"/>
      <c r="Q21" s="141"/>
      <c r="R21" s="94"/>
    </row>
    <row r="22" spans="1:18" ht="15" customHeight="1">
      <c r="A22" s="94"/>
      <c r="B22" s="101"/>
      <c r="C22" s="164"/>
      <c r="D22" s="101"/>
      <c r="E22" s="165">
        <f>IFERROR((G24+I24)/I23,0.2)</f>
        <v>0.2</v>
      </c>
      <c r="F22" s="166" t="s">
        <v>121</v>
      </c>
      <c r="G22" s="525" t="s">
        <v>122</v>
      </c>
      <c r="H22" s="525"/>
      <c r="I22" s="167">
        <f>'2. Company Facts'!C20</f>
        <v>0</v>
      </c>
      <c r="J22" s="517"/>
      <c r="K22" s="511"/>
      <c r="L22" s="511"/>
      <c r="M22" s="168">
        <f>'3. Calc'!D24</f>
        <v>1</v>
      </c>
      <c r="N22" s="169">
        <f>'3. Calc'!D28</f>
        <v>1</v>
      </c>
      <c r="O22" s="169">
        <f>'3. Calc'!D31</f>
        <v>1</v>
      </c>
      <c r="P22" s="170">
        <f>'3. Calc'!D35</f>
        <v>1</v>
      </c>
      <c r="Q22" s="171"/>
      <c r="R22" s="94"/>
    </row>
    <row r="23" spans="1:18" ht="15" customHeight="1">
      <c r="A23" s="94"/>
      <c r="B23" s="101"/>
      <c r="C23" s="164"/>
      <c r="D23" s="101"/>
      <c r="E23" s="172">
        <f>IFERROR(I32/I23,0.3)</f>
        <v>0.3</v>
      </c>
      <c r="F23" s="166" t="s">
        <v>123</v>
      </c>
      <c r="G23" s="520" t="s">
        <v>124</v>
      </c>
      <c r="H23" s="520"/>
      <c r="I23" s="173">
        <f>'2. Company Facts'!C21</f>
        <v>0</v>
      </c>
      <c r="J23" s="517"/>
      <c r="K23" s="511"/>
      <c r="L23" s="511"/>
      <c r="M23" s="143">
        <f>M50</f>
        <v>50</v>
      </c>
      <c r="N23" s="144">
        <f>N50</f>
        <v>50</v>
      </c>
      <c r="O23" s="144">
        <f>O50</f>
        <v>50</v>
      </c>
      <c r="P23" s="145">
        <f>P50</f>
        <v>50</v>
      </c>
      <c r="Q23" s="171"/>
      <c r="R23" s="94"/>
    </row>
    <row r="24" spans="1:18" ht="15.75" customHeight="1">
      <c r="A24" s="94"/>
      <c r="B24" s="174"/>
      <c r="C24" s="175"/>
      <c r="D24" s="176"/>
      <c r="E24" s="155"/>
      <c r="F24" s="177" t="s">
        <v>125</v>
      </c>
      <c r="G24" s="161">
        <f>'2. Company Facts'!C22</f>
        <v>0</v>
      </c>
      <c r="H24" s="177" t="s">
        <v>126</v>
      </c>
      <c r="I24" s="178">
        <f>'2. Company Facts'!C23</f>
        <v>0</v>
      </c>
      <c r="J24" s="517"/>
      <c r="K24" s="511"/>
      <c r="L24" s="511"/>
      <c r="M24" s="179">
        <f>IF(G69="empty",1,IFERROR(IF(H35='10. Industry'!A22,'3. Calc'!C102,IF(E23&lt;0.1,'3. Calc'!C103,IF(E23&gt;0.5,'3. Calc'!C105,'3. Calc'!C104))),'3. Calc'!C104))</f>
        <v>1</v>
      </c>
      <c r="N24" s="180">
        <f>IF(G69="empty",1,IFERROR(IF(I20="-",'3. Calc'!C104,IF(I20&gt;0.1,'3. Calc'!C103,IF(I20&lt;0.001,'3. Calc'!C106,IF(I20&lt;0.03,'3. Calc'!C105,'3. Calc'!C104)))),'3. Calc'!C104))</f>
        <v>1</v>
      </c>
      <c r="O24" s="180">
        <f>IF(G69="empty",1,IFERROR(IF(H35='10. Industry'!A22,'3. Calc'!C102,IF(E22&lt;0.1,'3. Calc'!C105,IF(E22&gt;0.25,'3. Calc'!C103,'3. Calc'!C104))),'3. Calc'!C104))</f>
        <v>1</v>
      </c>
      <c r="P24" s="181">
        <f>IF(G69="empty",1,IF(H39='12.lan'!D324,'3. Calc'!C105,'3. Calc'!C104))</f>
        <v>1</v>
      </c>
      <c r="Q24" s="182"/>
      <c r="R24" s="94"/>
    </row>
    <row r="25" spans="1:18" ht="12" customHeight="1">
      <c r="A25" s="94"/>
      <c r="B25" s="174"/>
      <c r="C25" s="183"/>
      <c r="D25" s="184"/>
      <c r="E25" s="120"/>
      <c r="F25" s="521" t="s">
        <v>127</v>
      </c>
      <c r="G25" s="521"/>
      <c r="H25" s="521"/>
      <c r="I25" s="185">
        <f>'2. Company Facts'!C27</f>
        <v>0</v>
      </c>
      <c r="J25" s="517" t="s">
        <v>128</v>
      </c>
      <c r="K25" s="511">
        <f>K51</f>
        <v>1</v>
      </c>
      <c r="L25" s="512">
        <f>M29+N29+O29+P29</f>
        <v>200</v>
      </c>
      <c r="M25" s="513" t="s">
        <v>42</v>
      </c>
      <c r="N25" s="519" t="s">
        <v>47</v>
      </c>
      <c r="O25" s="514" t="s">
        <v>52</v>
      </c>
      <c r="P25" s="515" t="s">
        <v>57</v>
      </c>
      <c r="Q25" s="171"/>
      <c r="R25" s="94"/>
    </row>
    <row r="26" spans="1:18" ht="15" customHeight="1">
      <c r="A26" s="94"/>
      <c r="B26" s="174"/>
      <c r="C26" s="183"/>
      <c r="D26" s="184"/>
      <c r="E26" s="120"/>
      <c r="F26" s="520" t="s">
        <v>129</v>
      </c>
      <c r="G26" s="520"/>
      <c r="H26" s="520"/>
      <c r="I26" s="186">
        <f>'2. Company Facts'!C26</f>
        <v>0</v>
      </c>
      <c r="J26" s="517"/>
      <c r="K26" s="511"/>
      <c r="L26" s="511"/>
      <c r="M26" s="513"/>
      <c r="N26" s="519"/>
      <c r="O26" s="514" t="s">
        <v>130</v>
      </c>
      <c r="P26" s="515" t="s">
        <v>131</v>
      </c>
      <c r="Q26" s="171"/>
      <c r="R26" s="94"/>
    </row>
    <row r="27" spans="1:18" ht="12" customHeight="1">
      <c r="A27" s="94"/>
      <c r="B27" s="174"/>
      <c r="C27" s="183"/>
      <c r="D27" s="184"/>
      <c r="E27" s="120"/>
      <c r="F27" s="187"/>
      <c r="G27" s="402" t="s">
        <v>132</v>
      </c>
      <c r="H27" s="188" t="str">
        <f>'2. Company Facts'!B30</f>
        <v>Bitte Auswählen</v>
      </c>
      <c r="I27" s="189">
        <f>'2. Company Facts'!D30</f>
        <v>0</v>
      </c>
      <c r="J27" s="517"/>
      <c r="K27" s="511"/>
      <c r="L27" s="511"/>
      <c r="M27" s="123"/>
      <c r="N27" s="124"/>
      <c r="O27" s="124"/>
      <c r="P27" s="125"/>
      <c r="Q27" s="171"/>
      <c r="R27" s="94"/>
    </row>
    <row r="28" spans="1:18" ht="15" customHeight="1">
      <c r="A28" s="94"/>
      <c r="B28" s="105"/>
      <c r="C28" s="164"/>
      <c r="D28" s="101"/>
      <c r="E28" s="120"/>
      <c r="F28" s="187"/>
      <c r="G28" s="402" t="s">
        <v>133</v>
      </c>
      <c r="H28" s="190" t="str">
        <f>'2. Company Facts'!B31</f>
        <v>Bitte Auswählen</v>
      </c>
      <c r="I28" s="191">
        <f>'2. Company Facts'!D31</f>
        <v>0</v>
      </c>
      <c r="J28" s="517"/>
      <c r="K28" s="511"/>
      <c r="L28" s="511"/>
      <c r="M28" s="168">
        <f>'3. Calc'!D39</f>
        <v>1</v>
      </c>
      <c r="N28" s="169">
        <f>'3. Calc'!D44</f>
        <v>1</v>
      </c>
      <c r="O28" s="169">
        <f>'3. Calc'!D49</f>
        <v>1</v>
      </c>
      <c r="P28" s="170">
        <f>'3. Calc'!D54</f>
        <v>1</v>
      </c>
      <c r="Q28" s="171"/>
      <c r="R28" s="94"/>
    </row>
    <row r="29" spans="1:18" ht="15" customHeight="1">
      <c r="A29" s="94"/>
      <c r="B29" s="105"/>
      <c r="C29" s="164"/>
      <c r="D29" s="101"/>
      <c r="E29" s="120"/>
      <c r="F29" s="187"/>
      <c r="G29" s="402" t="s">
        <v>133</v>
      </c>
      <c r="H29" s="192" t="str">
        <f>'2. Company Facts'!B32</f>
        <v>Bitte Auswählen</v>
      </c>
      <c r="I29" s="193">
        <f>'2. Company Facts'!D32</f>
        <v>0</v>
      </c>
      <c r="J29" s="517"/>
      <c r="K29" s="511"/>
      <c r="L29" s="511"/>
      <c r="M29" s="143">
        <f>M51</f>
        <v>50</v>
      </c>
      <c r="N29" s="144">
        <f>N51</f>
        <v>50</v>
      </c>
      <c r="O29" s="144">
        <f>O51</f>
        <v>50</v>
      </c>
      <c r="P29" s="145">
        <f>P51</f>
        <v>50</v>
      </c>
      <c r="Q29" s="171"/>
      <c r="R29" s="94"/>
    </row>
    <row r="30" spans="1:18" ht="15" customHeight="1">
      <c r="A30" s="94"/>
      <c r="B30" s="105"/>
      <c r="C30" s="164"/>
      <c r="D30" s="101"/>
      <c r="E30" s="120"/>
      <c r="F30" s="520" t="s">
        <v>134</v>
      </c>
      <c r="G30" s="520"/>
      <c r="H30" s="520"/>
      <c r="I30" s="194">
        <f>'2. Company Facts'!C33</f>
        <v>0</v>
      </c>
      <c r="J30" s="517"/>
      <c r="K30" s="511"/>
      <c r="L30" s="511"/>
      <c r="M30" s="146">
        <f>IF(G69="empty",1,'3. Calc'!C104)</f>
        <v>1</v>
      </c>
      <c r="N30" s="146">
        <f>IF(G69="empty",1,'3. Calc'!C104)</f>
        <v>1</v>
      </c>
      <c r="O30" s="147">
        <f>IF(G69="empty",1,IF(AND(I31='12.lan'!D53,I30&lt;10),'3. Calc'!C105,IF(I30&gt;25,'3. Calc'!C103,'3. Calc'!C104)))</f>
        <v>1</v>
      </c>
      <c r="P30" s="148">
        <f>IF(G69="empty",1,IF(I26=1,'3. Calc'!C106,IF(H39='12.lan'!D324,'3. Calc'!C105,IF('11.Region'!I14&gt;3.25,'3. Calc'!C103,'3. Calc'!C104))))</f>
        <v>1</v>
      </c>
      <c r="Q30" s="171"/>
      <c r="R30" s="94"/>
    </row>
    <row r="31" spans="1:18" ht="15.75" customHeight="1">
      <c r="A31" s="94"/>
      <c r="B31" s="174"/>
      <c r="C31" s="175"/>
      <c r="D31" s="176"/>
      <c r="E31" s="155"/>
      <c r="F31" s="522" t="s">
        <v>135</v>
      </c>
      <c r="G31" s="522"/>
      <c r="H31" s="522"/>
      <c r="I31" s="195">
        <f>'2. Company Facts'!C34</f>
        <v>0</v>
      </c>
      <c r="J31" s="517"/>
      <c r="K31" s="511"/>
      <c r="L31" s="511"/>
      <c r="M31" s="157"/>
      <c r="N31" s="158"/>
      <c r="O31" s="158"/>
      <c r="P31" s="159"/>
      <c r="Q31" s="182"/>
      <c r="R31" s="94"/>
    </row>
    <row r="32" spans="1:18" ht="12.75" customHeight="1">
      <c r="A32" s="94"/>
      <c r="B32" s="174"/>
      <c r="C32" s="183"/>
      <c r="D32" s="184"/>
      <c r="E32" s="120"/>
      <c r="F32" s="516" t="s">
        <v>136</v>
      </c>
      <c r="G32" s="516"/>
      <c r="H32" s="516"/>
      <c r="I32" s="196">
        <f>'2. Company Facts'!C37</f>
        <v>0</v>
      </c>
      <c r="J32" s="517" t="s">
        <v>137</v>
      </c>
      <c r="K32" s="511">
        <v>1</v>
      </c>
      <c r="L32" s="512">
        <f>M36+N36+O36+P36</f>
        <v>200</v>
      </c>
      <c r="M32" s="518" t="s">
        <v>63</v>
      </c>
      <c r="N32" s="507" t="s">
        <v>67</v>
      </c>
      <c r="O32" s="508" t="s">
        <v>71</v>
      </c>
      <c r="P32" s="509" t="s">
        <v>75</v>
      </c>
      <c r="Q32" s="171"/>
      <c r="R32" s="94"/>
    </row>
    <row r="33" spans="1:19" ht="15" customHeight="1">
      <c r="A33" s="94"/>
      <c r="B33" s="174"/>
      <c r="C33" s="183"/>
      <c r="D33" s="184"/>
      <c r="E33" s="120"/>
      <c r="F33" s="400"/>
      <c r="G33" s="400"/>
      <c r="H33" s="400" t="s">
        <v>138</v>
      </c>
      <c r="I33" s="197">
        <f>'2. Company Facts'!C38</f>
        <v>0</v>
      </c>
      <c r="J33" s="517"/>
      <c r="K33" s="511"/>
      <c r="L33" s="511"/>
      <c r="M33" s="518"/>
      <c r="N33" s="507"/>
      <c r="O33" s="508"/>
      <c r="P33" s="509"/>
      <c r="Q33" s="171"/>
      <c r="R33" s="94"/>
    </row>
    <row r="34" spans="1:19" ht="23.25" customHeight="1">
      <c r="A34" s="94"/>
      <c r="B34" s="174"/>
      <c r="C34" s="183"/>
      <c r="D34" s="184"/>
      <c r="E34" s="120"/>
      <c r="F34" s="121" t="s">
        <v>110</v>
      </c>
      <c r="G34" s="121" t="s">
        <v>111</v>
      </c>
      <c r="H34" s="403" t="s">
        <v>139</v>
      </c>
      <c r="I34" s="401" t="s">
        <v>140</v>
      </c>
      <c r="J34" s="517"/>
      <c r="K34" s="511"/>
      <c r="L34" s="511"/>
      <c r="M34" s="123"/>
      <c r="N34" s="124"/>
      <c r="O34" s="124"/>
      <c r="P34" s="125"/>
      <c r="Q34" s="171"/>
      <c r="R34" s="94"/>
    </row>
    <row r="35" spans="1:19" ht="15" customHeight="1">
      <c r="A35" s="94"/>
      <c r="B35" s="174"/>
      <c r="C35" s="183"/>
      <c r="D35" s="184"/>
      <c r="E35" s="120"/>
      <c r="F35" s="198" t="str">
        <f>'2. Company Facts'!B41</f>
        <v>Bitte Auswählen</v>
      </c>
      <c r="G35" s="199">
        <f>'2. Company Facts'!C41</f>
        <v>0</v>
      </c>
      <c r="H35" s="403" t="str">
        <f>LEFT(F35,2)</f>
        <v>Bi</v>
      </c>
      <c r="I35" s="200">
        <f>'2. Company Facts'!D41</f>
        <v>0</v>
      </c>
      <c r="J35" s="517"/>
      <c r="K35" s="511"/>
      <c r="L35" s="511"/>
      <c r="M35" s="168">
        <f>'3. Calc'!D60</f>
        <v>1</v>
      </c>
      <c r="N35" s="169">
        <f>'3. Calc'!D64</f>
        <v>1</v>
      </c>
      <c r="O35" s="169">
        <f>'3. Calc'!D68</f>
        <v>1</v>
      </c>
      <c r="P35" s="170">
        <f>'3. Calc'!D72</f>
        <v>1</v>
      </c>
      <c r="Q35" s="171"/>
      <c r="R35" s="94"/>
    </row>
    <row r="36" spans="1:19" ht="15" customHeight="1">
      <c r="A36" s="94"/>
      <c r="B36" s="174"/>
      <c r="C36" s="183"/>
      <c r="D36" s="184"/>
      <c r="E36" s="120"/>
      <c r="F36" s="201" t="str">
        <f>'2. Company Facts'!B42</f>
        <v>Bitte Auswählen</v>
      </c>
      <c r="G36" s="202">
        <f>'2. Company Facts'!C42</f>
        <v>0</v>
      </c>
      <c r="H36" s="403" t="str">
        <f>LEFT(F36,2)</f>
        <v>Bi</v>
      </c>
      <c r="I36" s="203">
        <f>'2. Company Facts'!D42</f>
        <v>0</v>
      </c>
      <c r="J36" s="517"/>
      <c r="K36" s="511"/>
      <c r="L36" s="511"/>
      <c r="M36" s="143">
        <f>M52</f>
        <v>50</v>
      </c>
      <c r="N36" s="144">
        <f>N52</f>
        <v>50</v>
      </c>
      <c r="O36" s="144">
        <f>O52</f>
        <v>50</v>
      </c>
      <c r="P36" s="145">
        <f>P52</f>
        <v>50</v>
      </c>
      <c r="Q36" s="171"/>
      <c r="R36" s="94"/>
    </row>
    <row r="37" spans="1:19" ht="15.75" customHeight="1">
      <c r="A37" s="94"/>
      <c r="B37" s="204"/>
      <c r="C37" s="205"/>
      <c r="D37" s="206"/>
      <c r="E37" s="155"/>
      <c r="F37" s="207" t="str">
        <f>'2. Company Facts'!B43</f>
        <v>Bitte Auswählen</v>
      </c>
      <c r="G37" s="208">
        <f>'2. Company Facts'!C43</f>
        <v>0</v>
      </c>
      <c r="H37" s="403" t="str">
        <f>LEFT(F37,2)</f>
        <v>Bi</v>
      </c>
      <c r="I37" s="209">
        <f>'2. Company Facts'!D43</f>
        <v>0</v>
      </c>
      <c r="J37" s="517"/>
      <c r="K37" s="511"/>
      <c r="L37" s="511"/>
      <c r="M37" s="179">
        <f>IF(G69="empty",1,'3. Calc'!C104)</f>
        <v>1</v>
      </c>
      <c r="N37" s="179">
        <f>IF(G69="empty",1,'3. Calc'!C104)</f>
        <v>1</v>
      </c>
      <c r="O37" s="180">
        <f>IF(G69="empty",1,VLOOKUP(S37,'3. Calc'!$B$102:$C$106,2,FALSE))</f>
        <v>1</v>
      </c>
      <c r="P37" s="181">
        <f>IF(G69="empty",1,IFERROR(IF(I33='12.lan'!D52,'3. Calc'!C103,'3. Calc'!C104),'3. Calc'!C104))</f>
        <v>1</v>
      </c>
      <c r="Q37" s="182"/>
      <c r="R37" s="94"/>
      <c r="S37" s="210">
        <f>VLOOKUP('10. Industry'!J39,F49:H53,3,FALSE)</f>
        <v>1</v>
      </c>
    </row>
    <row r="38" spans="1:19" ht="20.25" customHeight="1">
      <c r="A38" s="94"/>
      <c r="B38" s="204"/>
      <c r="C38" s="211"/>
      <c r="D38" s="204"/>
      <c r="E38" s="120"/>
      <c r="F38" s="120"/>
      <c r="G38" s="120"/>
      <c r="H38" s="120"/>
      <c r="I38" s="120"/>
      <c r="J38" s="510" t="s">
        <v>141</v>
      </c>
      <c r="K38" s="511">
        <v>1</v>
      </c>
      <c r="L38" s="512">
        <f>M42+N42+O42+P42</f>
        <v>200</v>
      </c>
      <c r="M38" s="513" t="s">
        <v>79</v>
      </c>
      <c r="N38" s="514" t="s">
        <v>83</v>
      </c>
      <c r="O38" s="514" t="s">
        <v>88</v>
      </c>
      <c r="P38" s="515" t="s">
        <v>92</v>
      </c>
      <c r="Q38" s="171"/>
      <c r="R38" s="94"/>
    </row>
    <row r="39" spans="1:19" ht="20.25" customHeight="1">
      <c r="A39" s="94"/>
      <c r="B39" s="204"/>
      <c r="C39" s="211"/>
      <c r="D39" s="204"/>
      <c r="E39" s="120"/>
      <c r="F39" s="120"/>
      <c r="G39" s="120"/>
      <c r="H39" s="120" t="str">
        <f>IF(AND(I26&lt;10,OR(I32&lt;=2000000,I23&lt;=2000000)),'12.lan'!D324,IF(AND(I26&lt;50,OR(I32&lt;=10000000,I23&lt;=10000000)),'12.lan'!D325,IF(AND(I26&lt;250,OR(I32&lt;=50000000,I23&lt;=43000000)),'12.lan'!D326,'12.lan'!D327)))</f>
        <v>Kleinstunternehmen</v>
      </c>
      <c r="I39" s="120"/>
      <c r="J39" s="510"/>
      <c r="K39" s="511"/>
      <c r="L39" s="511"/>
      <c r="M39" s="513"/>
      <c r="N39" s="514"/>
      <c r="O39" s="514"/>
      <c r="P39" s="515"/>
      <c r="Q39" s="171"/>
      <c r="R39" s="94"/>
    </row>
    <row r="40" spans="1:19" ht="15" customHeight="1">
      <c r="A40" s="94"/>
      <c r="B40" s="204"/>
      <c r="C40" s="211"/>
      <c r="D40" s="204"/>
      <c r="E40" s="120"/>
      <c r="F40" s="120" t="s">
        <v>142</v>
      </c>
      <c r="G40" s="120"/>
      <c r="H40" s="120" t="str">
        <f>IF(AND(I26=0,I32=0,I23=0),'12.lan'!E326)</f>
        <v>Mittleres Unternehmen</v>
      </c>
      <c r="I40" s="120"/>
      <c r="J40" s="510"/>
      <c r="K40" s="511"/>
      <c r="L40" s="511"/>
      <c r="M40" s="123"/>
      <c r="N40" s="123"/>
      <c r="O40" s="123"/>
      <c r="P40" s="125"/>
      <c r="Q40" s="171"/>
      <c r="R40" s="94"/>
    </row>
    <row r="41" spans="1:19" ht="14.25" customHeight="1">
      <c r="A41" s="94"/>
      <c r="B41" s="204"/>
      <c r="C41" s="211"/>
      <c r="D41" s="204"/>
      <c r="E41" s="120"/>
      <c r="F41" s="120"/>
      <c r="G41" s="120"/>
      <c r="H41" s="120"/>
      <c r="I41" s="120"/>
      <c r="J41" s="510"/>
      <c r="K41" s="511"/>
      <c r="L41" s="511"/>
      <c r="M41" s="168">
        <f>'3. Calc'!D77</f>
        <v>1</v>
      </c>
      <c r="N41" s="169">
        <f>'3. Calc'!D81</f>
        <v>1</v>
      </c>
      <c r="O41" s="169">
        <f>'3. Calc'!D86</f>
        <v>1</v>
      </c>
      <c r="P41" s="170">
        <f>'3. Calc'!D90</f>
        <v>1</v>
      </c>
      <c r="Q41" s="171"/>
      <c r="R41" s="94"/>
    </row>
    <row r="42" spans="1:19" ht="15.75" customHeight="1">
      <c r="A42" s="94"/>
      <c r="B42" s="204"/>
      <c r="C42" s="205"/>
      <c r="D42" s="206"/>
      <c r="E42" s="155"/>
      <c r="F42" s="155"/>
      <c r="G42" s="155"/>
      <c r="H42" s="155"/>
      <c r="I42" s="155"/>
      <c r="J42" s="510"/>
      <c r="K42" s="511"/>
      <c r="L42" s="511"/>
      <c r="M42" s="212">
        <f>M53</f>
        <v>50</v>
      </c>
      <c r="N42" s="213">
        <f>N53</f>
        <v>50</v>
      </c>
      <c r="O42" s="213">
        <f>O53</f>
        <v>50</v>
      </c>
      <c r="P42" s="214">
        <f>P53</f>
        <v>50</v>
      </c>
      <c r="Q42" s="182"/>
      <c r="R42" s="94"/>
    </row>
    <row r="43" spans="1:19" ht="12.75" customHeight="1">
      <c r="A43" s="94"/>
      <c r="B43" s="94"/>
      <c r="C43" s="94"/>
      <c r="D43" s="94"/>
      <c r="E43" s="94"/>
      <c r="F43" s="94"/>
      <c r="G43" s="94"/>
      <c r="H43" s="94"/>
      <c r="I43" s="94"/>
      <c r="J43" s="94"/>
      <c r="K43" s="94"/>
      <c r="L43" s="94"/>
      <c r="M43" s="215">
        <f>IF(G69="empty",1,'3. Calc'!C104)</f>
        <v>1</v>
      </c>
      <c r="N43" s="215">
        <f>IF(G69="empty",1,IF(I20="-",'3. Calc'!C104,IF(I20&lt;0.05,'3. Calc'!C105,IF(I20&lt;0.1,'3. Calc'!C104,IF(I20&gt;0.1,'3. Calc'!C103,'3. Calc'!C104)))))</f>
        <v>1</v>
      </c>
      <c r="O43" s="215">
        <f>IF(G69="empty",1,VLOOKUP(S37,'3. Calc'!$B$102:$C$106,2,FALSE))</f>
        <v>1</v>
      </c>
      <c r="P43" s="215">
        <f>IF(G69="empty",1,IF(H35="B",'3. Calc'!C103,IF(H35="F",'3. Calc'!C103,IF(H39='12.lan'!D324,'3. Calc'!C105,IF(H39='12.lan'!D324,'3. Calc'!C105,'3. Calc'!C104)))))</f>
        <v>1</v>
      </c>
      <c r="Q43" s="94"/>
      <c r="R43" s="94"/>
      <c r="S43" s="94">
        <f>VLOOKUP('10. Industry'!L39,F49:H53,3,FALSE)</f>
        <v>1</v>
      </c>
    </row>
    <row r="44" spans="1:19" ht="24" customHeight="1">
      <c r="A44" s="94"/>
      <c r="B44" s="98"/>
      <c r="C44" s="98"/>
      <c r="D44" s="98"/>
      <c r="E44" s="98"/>
      <c r="F44" s="98"/>
      <c r="G44" s="98"/>
      <c r="H44" s="98"/>
      <c r="I44" s="98"/>
      <c r="J44" s="98"/>
      <c r="K44" s="98"/>
      <c r="L44" s="98"/>
      <c r="M44" s="98"/>
      <c r="N44" s="98"/>
      <c r="O44" s="98"/>
      <c r="P44" s="98"/>
      <c r="Q44" s="100"/>
      <c r="R44" s="94"/>
    </row>
    <row r="45" spans="1:19" ht="16.5" customHeight="1">
      <c r="A45" s="94"/>
      <c r="B45" s="109"/>
      <c r="C45" s="109"/>
      <c r="D45" s="109"/>
      <c r="E45" s="109"/>
      <c r="F45" s="109"/>
      <c r="G45" s="109"/>
      <c r="H45" s="109"/>
      <c r="I45" s="109"/>
      <c r="J45" s="109"/>
      <c r="K45" s="109"/>
      <c r="L45" s="109"/>
      <c r="M45" s="506" t="s">
        <v>143</v>
      </c>
      <c r="N45" s="506" t="s">
        <v>144</v>
      </c>
      <c r="O45" s="506" t="s">
        <v>100</v>
      </c>
      <c r="P45" s="506" t="s">
        <v>145</v>
      </c>
      <c r="Q45" s="104"/>
      <c r="R45" s="94"/>
    </row>
    <row r="46" spans="1:19" ht="24.75" customHeight="1">
      <c r="A46" s="94"/>
      <c r="B46" s="109"/>
      <c r="C46" s="109"/>
      <c r="D46" s="109"/>
      <c r="E46" s="109"/>
      <c r="F46" s="109"/>
      <c r="G46" s="109"/>
      <c r="H46" s="109"/>
      <c r="I46" s="109"/>
      <c r="J46" s="109"/>
      <c r="K46" s="109"/>
      <c r="L46" s="109"/>
      <c r="M46" s="506"/>
      <c r="N46" s="506"/>
      <c r="O46" s="506"/>
      <c r="P46" s="506"/>
      <c r="Q46" s="104"/>
      <c r="R46" s="94"/>
    </row>
    <row r="47" spans="1:19" ht="24.75" customHeight="1">
      <c r="A47" s="94"/>
      <c r="B47" s="109"/>
      <c r="C47" s="109"/>
      <c r="D47" s="109"/>
      <c r="E47" s="109"/>
      <c r="F47" s="109"/>
      <c r="G47" s="109"/>
      <c r="H47" s="109"/>
      <c r="I47" s="109"/>
      <c r="J47" s="109"/>
      <c r="K47" s="109"/>
      <c r="L47" s="109"/>
      <c r="M47" s="404"/>
      <c r="N47" s="404"/>
      <c r="O47" s="404"/>
      <c r="P47" s="404"/>
      <c r="Q47" s="104"/>
      <c r="R47" s="94"/>
    </row>
    <row r="48" spans="1:19" ht="26.25" customHeight="1">
      <c r="A48" s="94"/>
      <c r="B48" s="109"/>
      <c r="C48" s="109"/>
      <c r="D48" s="109"/>
      <c r="F48" s="120" t="s">
        <v>146</v>
      </c>
      <c r="G48" s="120"/>
      <c r="H48" s="120"/>
      <c r="K48" s="109"/>
      <c r="L48" s="109"/>
      <c r="M48" s="403"/>
      <c r="N48" s="403"/>
      <c r="O48" s="403"/>
      <c r="P48" s="403"/>
      <c r="Q48" s="104"/>
      <c r="R48" s="95" t="s">
        <v>3043</v>
      </c>
    </row>
    <row r="49" spans="1:18" ht="18.75" customHeight="1">
      <c r="A49" s="94"/>
      <c r="B49" s="216"/>
      <c r="C49" s="216"/>
      <c r="D49" s="216"/>
      <c r="E49" s="216"/>
      <c r="F49" s="216" t="s">
        <v>147</v>
      </c>
      <c r="G49" s="217"/>
      <c r="H49" s="218">
        <v>0</v>
      </c>
      <c r="I49" s="219">
        <f>IFERROR((60*'11.Region'!G3/('11.Region'!G3+'11.Region'!G10+(I19+I21+I22+G24))*5),100)</f>
        <v>100</v>
      </c>
      <c r="J49" s="219">
        <f>IF(I49&lt;60,60,IF(I49&gt;300,300,I49))</f>
        <v>100</v>
      </c>
      <c r="K49" s="504">
        <f>IFERROR(IF(J49=60,0.5,IF(J49=300,2,IF(J49&lt;180,1,1.5))),1)</f>
        <v>1</v>
      </c>
      <c r="L49" s="504"/>
      <c r="M49" s="220">
        <f t="shared" ref="M49:P53" si="0">M62/$Q$67*1000</f>
        <v>50</v>
      </c>
      <c r="N49" s="220">
        <f t="shared" si="0"/>
        <v>50</v>
      </c>
      <c r="O49" s="220">
        <f t="shared" si="0"/>
        <v>50</v>
      </c>
      <c r="P49" s="220">
        <f t="shared" si="0"/>
        <v>50</v>
      </c>
      <c r="Q49" s="221">
        <f>SUM(M49:P49)</f>
        <v>200</v>
      </c>
      <c r="R49" s="95">
        <f>'3. Calc'!D9</f>
        <v>1</v>
      </c>
    </row>
    <row r="50" spans="1:18" ht="18.75" customHeight="1">
      <c r="A50" s="94"/>
      <c r="B50" s="120"/>
      <c r="C50" s="120"/>
      <c r="D50" s="120"/>
      <c r="E50" s="120"/>
      <c r="F50" s="120" t="s">
        <v>148</v>
      </c>
      <c r="G50" s="222"/>
      <c r="H50" s="120">
        <v>0.5</v>
      </c>
      <c r="I50" s="219">
        <f>IFERROR((60*(I19+I21+I22+G24)/('11.Region'!G3+'11.Region'!G10+(I19+I21+I22+G24))*10),100)</f>
        <v>100</v>
      </c>
      <c r="J50" s="219">
        <f>IF(I50&lt;60,60,IF(I50&gt;300,300,I50))</f>
        <v>100</v>
      </c>
      <c r="K50" s="504">
        <f>IFERROR(IF(J50=60,0.5,IF(J50=300,2,IF(J50&lt;180,1,1.5))),1)</f>
        <v>1</v>
      </c>
      <c r="L50" s="504"/>
      <c r="M50" s="220">
        <f t="shared" si="0"/>
        <v>50</v>
      </c>
      <c r="N50" s="220">
        <f t="shared" si="0"/>
        <v>50</v>
      </c>
      <c r="O50" s="220">
        <f t="shared" si="0"/>
        <v>50</v>
      </c>
      <c r="P50" s="220">
        <f t="shared" si="0"/>
        <v>50</v>
      </c>
      <c r="Q50" s="221">
        <f>SUM(M50:P50)</f>
        <v>200</v>
      </c>
      <c r="R50" s="95">
        <f>'3. Calc'!D23</f>
        <v>1</v>
      </c>
    </row>
    <row r="51" spans="1:18" ht="18.75" customHeight="1">
      <c r="A51" s="94"/>
      <c r="B51" s="120"/>
      <c r="C51" s="120"/>
      <c r="D51" s="120"/>
      <c r="E51" s="120"/>
      <c r="F51" s="120" t="s">
        <v>149</v>
      </c>
      <c r="G51" s="222"/>
      <c r="H51" s="120">
        <v>1</v>
      </c>
      <c r="I51" s="219">
        <f>IFERROR((60*'11.Region'!G10/('11.Region'!G3+'11.Region'!G10+(I19+I21+I22+G24))*10),100)</f>
        <v>100</v>
      </c>
      <c r="J51" s="219">
        <f>IF(I51&lt;60,60,IF(I51&gt;300,300,I51))</f>
        <v>100</v>
      </c>
      <c r="K51" s="504">
        <f>IFERROR(IF(J51=60,0.5,IF(J51=300,2,IF(J51&lt;180,1,1.5))),1)</f>
        <v>1</v>
      </c>
      <c r="L51" s="504"/>
      <c r="M51" s="220">
        <f t="shared" si="0"/>
        <v>50</v>
      </c>
      <c r="N51" s="220">
        <f t="shared" si="0"/>
        <v>50</v>
      </c>
      <c r="O51" s="220">
        <f t="shared" si="0"/>
        <v>50</v>
      </c>
      <c r="P51" s="220">
        <f t="shared" si="0"/>
        <v>50</v>
      </c>
      <c r="Q51" s="221">
        <f>SUM(M51:P51)</f>
        <v>200</v>
      </c>
      <c r="R51" s="95">
        <f>'3. Calc'!D38</f>
        <v>1</v>
      </c>
    </row>
    <row r="52" spans="1:18" ht="18.75" customHeight="1">
      <c r="A52" s="94"/>
      <c r="B52" s="120"/>
      <c r="C52" s="120"/>
      <c r="D52" s="120"/>
      <c r="E52" s="120"/>
      <c r="F52" s="120" t="s">
        <v>150</v>
      </c>
      <c r="G52" s="222"/>
      <c r="H52" s="120">
        <v>1.5</v>
      </c>
      <c r="I52" s="120"/>
      <c r="J52" s="120"/>
      <c r="K52" s="504">
        <f>K32</f>
        <v>1</v>
      </c>
      <c r="L52" s="504"/>
      <c r="M52" s="220">
        <f t="shared" si="0"/>
        <v>50</v>
      </c>
      <c r="N52" s="220">
        <f t="shared" si="0"/>
        <v>50</v>
      </c>
      <c r="O52" s="220">
        <f t="shared" si="0"/>
        <v>50</v>
      </c>
      <c r="P52" s="220">
        <f t="shared" si="0"/>
        <v>50</v>
      </c>
      <c r="Q52" s="221">
        <f>SUM(M52:P52)</f>
        <v>200</v>
      </c>
      <c r="R52" s="95">
        <f>'3. Calc'!D59</f>
        <v>1</v>
      </c>
    </row>
    <row r="53" spans="1:18" ht="18.75" customHeight="1">
      <c r="A53" s="94"/>
      <c r="B53" s="120"/>
      <c r="C53" s="120"/>
      <c r="D53" s="120"/>
      <c r="E53" s="120"/>
      <c r="F53" s="120" t="s">
        <v>151</v>
      </c>
      <c r="G53" s="222"/>
      <c r="H53" s="120">
        <v>2</v>
      </c>
      <c r="I53" s="120"/>
      <c r="J53" s="120"/>
      <c r="K53" s="504">
        <f>K38</f>
        <v>1</v>
      </c>
      <c r="L53" s="504"/>
      <c r="M53" s="220">
        <f t="shared" si="0"/>
        <v>50</v>
      </c>
      <c r="N53" s="220">
        <f t="shared" si="0"/>
        <v>50</v>
      </c>
      <c r="O53" s="220">
        <f t="shared" si="0"/>
        <v>50</v>
      </c>
      <c r="P53" s="220">
        <f t="shared" si="0"/>
        <v>50</v>
      </c>
      <c r="Q53" s="221">
        <f>SUM(M53:P53)</f>
        <v>200</v>
      </c>
      <c r="R53" s="95">
        <f>'3. Calc'!D76</f>
        <v>1</v>
      </c>
    </row>
    <row r="54" spans="1:18" ht="18.75" customHeight="1" thickBot="1">
      <c r="A54" s="94"/>
      <c r="B54" s="223"/>
      <c r="C54" s="223"/>
      <c r="D54" s="223"/>
      <c r="E54" s="223"/>
      <c r="F54" s="223"/>
      <c r="G54" s="223"/>
      <c r="H54" s="223"/>
      <c r="I54" s="223"/>
      <c r="J54" s="223"/>
      <c r="K54" s="223"/>
      <c r="L54" s="223"/>
      <c r="M54" s="224">
        <f>SUM(M49:M53)</f>
        <v>250</v>
      </c>
      <c r="N54" s="224">
        <f>SUM(N49:N53)</f>
        <v>250</v>
      </c>
      <c r="O54" s="224">
        <f>SUM(O49:O53)</f>
        <v>250</v>
      </c>
      <c r="P54" s="224">
        <f>SUM(P49:P53)</f>
        <v>250</v>
      </c>
      <c r="Q54" s="225">
        <f>SUM(Q49:Q53)</f>
        <v>1000</v>
      </c>
      <c r="R54" s="94"/>
    </row>
    <row r="55" spans="1:18" ht="18.75" customHeight="1">
      <c r="A55" s="94"/>
      <c r="B55" s="94"/>
      <c r="C55" s="94"/>
      <c r="D55" s="94"/>
      <c r="E55" s="94"/>
      <c r="F55" s="94"/>
      <c r="G55" s="94"/>
      <c r="H55" s="94"/>
      <c r="I55" s="94"/>
      <c r="J55" s="94"/>
      <c r="K55" s="94"/>
      <c r="L55" s="94"/>
      <c r="M55" s="95"/>
      <c r="N55" s="95"/>
      <c r="O55" s="95"/>
      <c r="P55" s="95"/>
      <c r="Q55" s="94"/>
      <c r="R55" s="94"/>
    </row>
    <row r="56" spans="1:18" ht="24.75" customHeight="1">
      <c r="A56" s="94"/>
      <c r="B56" s="94"/>
      <c r="C56" s="94"/>
      <c r="D56" s="94"/>
      <c r="E56" s="94"/>
      <c r="F56" s="94"/>
      <c r="G56" s="94"/>
      <c r="H56" s="94"/>
      <c r="I56" s="94"/>
      <c r="J56" s="94"/>
      <c r="K56" s="94"/>
      <c r="L56" s="94"/>
      <c r="M56" s="95"/>
      <c r="N56" s="95"/>
      <c r="O56" s="95"/>
      <c r="P56" s="95"/>
      <c r="Q56" s="94"/>
      <c r="R56" s="94"/>
    </row>
    <row r="57" spans="1:18" ht="24.75" customHeight="1">
      <c r="A57" s="94"/>
      <c r="B57" s="94"/>
      <c r="C57" s="94"/>
      <c r="D57" s="94"/>
      <c r="E57" s="94"/>
      <c r="F57" s="94"/>
      <c r="G57" s="94"/>
      <c r="H57" s="94"/>
      <c r="I57" s="94"/>
      <c r="J57" s="94"/>
      <c r="K57" s="94"/>
      <c r="L57" s="94"/>
      <c r="M57" s="95"/>
      <c r="N57" s="95"/>
      <c r="O57" s="95"/>
      <c r="P57" s="95"/>
      <c r="Q57" s="94"/>
      <c r="R57" s="94"/>
    </row>
    <row r="58" spans="1:18" ht="27.75" customHeight="1">
      <c r="A58" s="94"/>
      <c r="B58" s="505"/>
      <c r="C58" s="505"/>
      <c r="D58" s="505"/>
      <c r="E58" s="505"/>
      <c r="F58" s="505"/>
      <c r="G58" s="505"/>
      <c r="H58" s="505"/>
      <c r="I58" s="505"/>
      <c r="J58" s="505"/>
      <c r="K58" s="505"/>
      <c r="L58" s="505"/>
      <c r="M58" s="505"/>
      <c r="N58" s="505"/>
      <c r="O58" s="505"/>
      <c r="P58" s="505"/>
      <c r="Q58" s="505"/>
      <c r="R58" s="94"/>
    </row>
    <row r="59" spans="1:18" ht="27.75" customHeight="1">
      <c r="A59" s="94"/>
      <c r="B59" s="109"/>
      <c r="C59" s="109"/>
      <c r="D59" s="109"/>
      <c r="E59" s="109"/>
      <c r="F59" s="109"/>
      <c r="G59" s="109"/>
      <c r="H59" s="109"/>
      <c r="I59" s="109"/>
      <c r="J59" s="109"/>
      <c r="K59" s="109"/>
      <c r="L59" s="109"/>
      <c r="M59" s="404" t="s">
        <v>143</v>
      </c>
      <c r="N59" s="404" t="s">
        <v>144</v>
      </c>
      <c r="O59" s="404" t="s">
        <v>100</v>
      </c>
      <c r="P59" s="404" t="s">
        <v>145</v>
      </c>
      <c r="Q59" s="104"/>
      <c r="R59" s="94"/>
    </row>
    <row r="60" spans="1:18" ht="19.5" customHeight="1">
      <c r="A60" s="94"/>
      <c r="B60" s="109"/>
      <c r="C60" s="109"/>
      <c r="D60" s="109"/>
      <c r="E60" s="109"/>
      <c r="F60" s="109"/>
      <c r="G60" s="109"/>
      <c r="H60" s="109"/>
      <c r="I60" s="109"/>
      <c r="J60" s="109"/>
      <c r="K60" s="109"/>
      <c r="L60" s="109"/>
      <c r="M60" s="404"/>
      <c r="N60" s="404"/>
      <c r="O60" s="404"/>
      <c r="P60" s="404"/>
      <c r="Q60" s="104"/>
      <c r="R60" s="94"/>
    </row>
    <row r="61" spans="1:18" ht="23.25" customHeight="1">
      <c r="A61" s="94"/>
      <c r="B61" s="109"/>
      <c r="C61" s="109"/>
      <c r="D61" s="109"/>
      <c r="E61" s="109"/>
      <c r="F61" s="109"/>
      <c r="G61" s="109"/>
      <c r="H61" s="109"/>
      <c r="I61" s="109"/>
      <c r="J61" s="109"/>
      <c r="K61" s="109"/>
      <c r="L61" s="109"/>
      <c r="M61" s="403">
        <v>1</v>
      </c>
      <c r="N61" s="403">
        <v>1</v>
      </c>
      <c r="O61" s="403">
        <v>1</v>
      </c>
      <c r="P61" s="403">
        <v>1</v>
      </c>
      <c r="Q61" s="104"/>
      <c r="R61" s="94"/>
    </row>
    <row r="62" spans="1:18" ht="54" customHeight="1">
      <c r="A62" s="94"/>
      <c r="B62" s="216"/>
      <c r="C62" s="216"/>
      <c r="D62" s="216"/>
      <c r="E62" s="216"/>
      <c r="F62" s="216"/>
      <c r="G62" s="216"/>
      <c r="H62" s="216"/>
      <c r="I62" s="216"/>
      <c r="J62" s="216"/>
      <c r="K62" s="226">
        <f>IF(K49=R49,K49,R49)</f>
        <v>1</v>
      </c>
      <c r="L62" s="226"/>
      <c r="M62" s="227">
        <f>M14*$K$62</f>
        <v>1</v>
      </c>
      <c r="N62" s="227">
        <f>N14*$K$62</f>
        <v>1</v>
      </c>
      <c r="O62" s="227">
        <f>O14*$K$62</f>
        <v>1</v>
      </c>
      <c r="P62" s="227">
        <f>P14*$K$62</f>
        <v>1</v>
      </c>
      <c r="Q62" s="221">
        <f>SUM(M62:P62)</f>
        <v>4</v>
      </c>
      <c r="R62" s="94"/>
    </row>
    <row r="63" spans="1:18" ht="27" customHeight="1">
      <c r="A63" s="94"/>
      <c r="B63" s="120"/>
      <c r="C63" s="120"/>
      <c r="D63" s="120"/>
      <c r="E63" s="120"/>
      <c r="F63" s="120"/>
      <c r="G63" s="120"/>
      <c r="H63" s="120"/>
      <c r="I63" s="120"/>
      <c r="J63" s="120"/>
      <c r="K63" s="226">
        <f t="shared" ref="K63:K66" si="1">IF(K50=R50,K50,R50)</f>
        <v>1</v>
      </c>
      <c r="L63" s="226"/>
      <c r="M63" s="227">
        <f>M22*$K$63</f>
        <v>1</v>
      </c>
      <c r="N63" s="227">
        <f>N22*$K$63</f>
        <v>1</v>
      </c>
      <c r="O63" s="227">
        <f>O22*$K$63</f>
        <v>1</v>
      </c>
      <c r="P63" s="227">
        <f>P22*$K$63</f>
        <v>1</v>
      </c>
      <c r="Q63" s="221">
        <f>SUM(M63:P63)</f>
        <v>4</v>
      </c>
      <c r="R63" s="94"/>
    </row>
    <row r="64" spans="1:18" ht="29.25" customHeight="1">
      <c r="A64" s="94"/>
      <c r="B64" s="120"/>
      <c r="C64" s="120"/>
      <c r="D64" s="120"/>
      <c r="E64" s="120"/>
      <c r="F64" s="120"/>
      <c r="G64" s="120"/>
      <c r="H64" s="120"/>
      <c r="I64" s="120"/>
      <c r="J64" s="120"/>
      <c r="K64" s="226">
        <f t="shared" si="1"/>
        <v>1</v>
      </c>
      <c r="L64" s="226"/>
      <c r="M64" s="227">
        <f>M28*$K$64</f>
        <v>1</v>
      </c>
      <c r="N64" s="227">
        <f>N28*$K$64</f>
        <v>1</v>
      </c>
      <c r="O64" s="227">
        <f>O28*$K$64</f>
        <v>1</v>
      </c>
      <c r="P64" s="227">
        <f>P28*$K$64</f>
        <v>1</v>
      </c>
      <c r="Q64" s="221">
        <f>SUM(M64:P64)</f>
        <v>4</v>
      </c>
      <c r="R64" s="94"/>
    </row>
    <row r="65" spans="1:18" ht="24" customHeight="1">
      <c r="A65" s="94"/>
      <c r="B65" s="120"/>
      <c r="C65" s="120"/>
      <c r="D65" s="120"/>
      <c r="E65" s="120"/>
      <c r="F65" s="120"/>
      <c r="G65" s="120"/>
      <c r="H65" s="120"/>
      <c r="I65" s="120"/>
      <c r="J65" s="120"/>
      <c r="K65" s="226">
        <f t="shared" si="1"/>
        <v>1</v>
      </c>
      <c r="L65" s="216"/>
      <c r="M65" s="227">
        <f>M35*K65</f>
        <v>1</v>
      </c>
      <c r="N65" s="227">
        <f>N35*K65</f>
        <v>1</v>
      </c>
      <c r="O65" s="227">
        <f>O35*K65</f>
        <v>1</v>
      </c>
      <c r="P65" s="227">
        <f>P35*K65</f>
        <v>1</v>
      </c>
      <c r="Q65" s="221">
        <f>SUM(M65:P65)</f>
        <v>4</v>
      </c>
      <c r="R65" s="94"/>
    </row>
    <row r="66" spans="1:18" ht="24" customHeight="1">
      <c r="A66" s="94"/>
      <c r="B66" s="120"/>
      <c r="C66" s="120"/>
      <c r="D66" s="120"/>
      <c r="E66" s="120"/>
      <c r="F66" s="120"/>
      <c r="G66" s="120"/>
      <c r="H66" s="120"/>
      <c r="I66" s="120"/>
      <c r="J66" s="120"/>
      <c r="K66" s="226">
        <f t="shared" si="1"/>
        <v>1</v>
      </c>
      <c r="L66" s="216"/>
      <c r="M66" s="227">
        <f>M41*K66</f>
        <v>1</v>
      </c>
      <c r="N66" s="227">
        <f>N41*K66</f>
        <v>1</v>
      </c>
      <c r="O66" s="227">
        <f>O41*K66</f>
        <v>1</v>
      </c>
      <c r="P66" s="227">
        <f>P41*K66</f>
        <v>1</v>
      </c>
      <c r="Q66" s="221">
        <f>SUM(M66:P66)</f>
        <v>4</v>
      </c>
      <c r="R66" s="94"/>
    </row>
    <row r="67" spans="1:18" ht="24" customHeight="1">
      <c r="A67" s="94"/>
      <c r="B67" s="223"/>
      <c r="C67" s="223"/>
      <c r="D67" s="223"/>
      <c r="E67" s="223"/>
      <c r="F67" s="223"/>
      <c r="G67" s="223"/>
      <c r="H67" s="223"/>
      <c r="I67" s="223"/>
      <c r="J67" s="223"/>
      <c r="K67" s="223"/>
      <c r="L67" s="223"/>
      <c r="M67" s="224">
        <f>SUM(M62:M66)</f>
        <v>5</v>
      </c>
      <c r="N67" s="224">
        <f>SUM(N62:N66)</f>
        <v>5</v>
      </c>
      <c r="O67" s="224">
        <f>SUM(O62:O66)</f>
        <v>5</v>
      </c>
      <c r="P67" s="224">
        <f>SUM(P62:P66)</f>
        <v>5</v>
      </c>
      <c r="Q67" s="225">
        <f>SUM(Q62:Q66)</f>
        <v>20</v>
      </c>
      <c r="R67" s="94"/>
    </row>
    <row r="68" spans="1:18" ht="24" customHeight="1">
      <c r="A68" s="94"/>
      <c r="B68" s="94"/>
      <c r="C68" s="94"/>
      <c r="D68" s="94"/>
      <c r="E68" s="94"/>
      <c r="F68" s="94"/>
      <c r="G68" s="94"/>
      <c r="H68" s="94"/>
      <c r="I68" s="94"/>
      <c r="J68" s="94"/>
      <c r="K68" s="94"/>
      <c r="L68" s="94"/>
      <c r="M68" s="95"/>
      <c r="N68" s="95"/>
      <c r="O68" s="95"/>
      <c r="P68" s="95"/>
      <c r="Q68" s="94"/>
      <c r="R68" s="94"/>
    </row>
    <row r="69" spans="1:18" ht="36" customHeight="1">
      <c r="A69" s="94"/>
      <c r="B69" s="94"/>
      <c r="C69" s="94"/>
      <c r="D69" s="94"/>
      <c r="E69" s="94"/>
      <c r="F69" s="469" t="s">
        <v>3356</v>
      </c>
      <c r="G69" s="469" t="str">
        <f>IF(AND('2. Company Facts'!C7=0,'2. Company Facts'!F10=0,'2. Company Facts'!F11=0,'2. Company Facts'!F12=0,'2. Company Facts'!F13=0,'2. Company Facts'!F14=0,'2. Company Facts'!C18=0,'2. Company Facts'!C19=0,'2. Company Facts'!C20=0,'2. Company Facts'!C21=0,'2. Company Facts'!C22=0,'2. Company Facts'!C23=0,'2. Company Facts'!C26=0,'2. Company Facts'!C27=0,'2. Company Facts'!D30=0,'2. Company Facts'!D31=0,'2. Company Facts'!D32=0,'2. Company Facts'!C33=0,'2. Company Facts'!C34=0,'2. Company Facts'!C37=0,'2. Company Facts'!C38=0,'2. Company Facts'!D41=0,'2. Company Facts'!D42=0,'2. Company Facts'!D43=0),"empty","data")</f>
        <v>empty</v>
      </c>
      <c r="H69" s="94"/>
      <c r="I69" s="94"/>
      <c r="J69" s="94"/>
      <c r="K69" s="94"/>
      <c r="L69" s="94"/>
      <c r="M69" s="95"/>
      <c r="N69" s="95"/>
      <c r="O69" s="95"/>
      <c r="P69" s="95"/>
      <c r="Q69" s="94"/>
      <c r="R69" s="94"/>
    </row>
    <row r="70" spans="1:18" ht="24" customHeight="1">
      <c r="A70" s="94"/>
      <c r="B70" s="94" t="s">
        <v>152</v>
      </c>
      <c r="C70" s="94"/>
      <c r="D70" s="94"/>
      <c r="E70" s="94"/>
      <c r="F70" s="94"/>
      <c r="G70" s="94"/>
      <c r="H70" s="94"/>
      <c r="I70" s="94"/>
      <c r="J70" s="94"/>
      <c r="K70" s="94"/>
      <c r="L70" s="94"/>
      <c r="M70" s="95"/>
      <c r="N70" s="95"/>
      <c r="O70" s="95"/>
      <c r="P70" s="95"/>
      <c r="Q70" s="94"/>
      <c r="R70" s="94"/>
    </row>
    <row r="71" spans="1:18" ht="12" customHeight="1">
      <c r="A71" s="94"/>
      <c r="B71" s="94"/>
      <c r="C71" s="94"/>
      <c r="D71" s="94"/>
      <c r="E71" s="94"/>
      <c r="F71" s="94"/>
      <c r="G71" s="94"/>
      <c r="H71" s="94"/>
      <c r="I71" s="94"/>
      <c r="J71" s="94"/>
      <c r="K71" s="94"/>
      <c r="L71" s="94"/>
      <c r="M71" s="95"/>
      <c r="N71" s="95"/>
      <c r="O71" s="95"/>
      <c r="P71" s="95"/>
      <c r="Q71" s="94"/>
      <c r="R71" s="94"/>
    </row>
    <row r="72" spans="1:18" ht="12" customHeight="1">
      <c r="A72" s="94"/>
      <c r="B72" s="94"/>
      <c r="C72" s="94"/>
      <c r="D72" s="94"/>
      <c r="E72" s="94"/>
      <c r="F72" s="94"/>
      <c r="G72" s="94"/>
      <c r="H72" s="94"/>
      <c r="I72" s="94"/>
      <c r="J72" s="94"/>
      <c r="K72" s="94"/>
      <c r="L72" s="94"/>
      <c r="M72" s="95"/>
      <c r="N72" s="95"/>
      <c r="O72" s="95"/>
      <c r="P72" s="95"/>
      <c r="Q72" s="94"/>
      <c r="R72" s="94"/>
    </row>
    <row r="73" spans="1:18" ht="12" customHeight="1">
      <c r="A73" s="94"/>
      <c r="B73" s="94"/>
      <c r="C73" s="94"/>
      <c r="D73" s="94"/>
      <c r="E73" s="94"/>
      <c r="F73" s="94"/>
      <c r="G73" s="94"/>
      <c r="H73" s="94"/>
      <c r="I73" s="94"/>
      <c r="J73" s="94"/>
      <c r="K73" s="94"/>
      <c r="L73" s="94"/>
      <c r="M73" s="95"/>
      <c r="N73" s="95"/>
      <c r="O73" s="95"/>
      <c r="P73" s="95"/>
      <c r="Q73" s="94"/>
      <c r="R73" s="94"/>
    </row>
    <row r="74" spans="1:18" ht="12" customHeight="1">
      <c r="A74" s="94"/>
    </row>
    <row r="75" spans="1:18" ht="12" customHeight="1">
      <c r="A75" s="94"/>
    </row>
    <row r="76" spans="1:18" ht="12" customHeight="1">
      <c r="A76" s="94"/>
    </row>
    <row r="119" spans="1:18" ht="12" customHeight="1">
      <c r="A119" s="94"/>
      <c r="B119" s="94"/>
      <c r="C119" s="94"/>
      <c r="D119" s="94"/>
      <c r="E119" s="94"/>
      <c r="F119" s="94"/>
      <c r="G119" s="94"/>
      <c r="H119" s="94"/>
      <c r="I119" s="94"/>
      <c r="J119" s="94"/>
      <c r="K119" s="94"/>
      <c r="L119" s="94"/>
      <c r="M119" s="95"/>
      <c r="N119" s="95"/>
      <c r="O119" s="95"/>
      <c r="P119" s="95"/>
      <c r="Q119" s="94"/>
      <c r="R119" s="94"/>
    </row>
    <row r="120" spans="1:18" ht="12" customHeight="1">
      <c r="A120" s="94"/>
      <c r="B120" s="94"/>
      <c r="C120" s="94"/>
      <c r="D120" s="94"/>
      <c r="E120" s="94"/>
      <c r="F120" s="94"/>
      <c r="G120" s="94"/>
      <c r="H120" s="94"/>
      <c r="I120" s="94"/>
      <c r="J120" s="94"/>
      <c r="K120" s="94"/>
      <c r="L120" s="94"/>
      <c r="M120" s="95"/>
      <c r="N120" s="95"/>
      <c r="O120" s="95"/>
      <c r="P120" s="95"/>
      <c r="Q120" s="94"/>
      <c r="R120" s="94"/>
    </row>
    <row r="121" spans="1:18" ht="12" customHeight="1">
      <c r="A121" s="94"/>
      <c r="B121" s="94"/>
      <c r="C121" s="94"/>
      <c r="D121" s="94"/>
      <c r="E121" s="94"/>
      <c r="F121" s="94"/>
      <c r="G121" s="94"/>
      <c r="H121" s="94"/>
      <c r="I121" s="94"/>
      <c r="J121" s="94"/>
      <c r="K121" s="94"/>
      <c r="L121" s="94"/>
      <c r="M121" s="95"/>
      <c r="N121" s="95"/>
      <c r="O121" s="95"/>
      <c r="P121" s="95"/>
      <c r="Q121" s="94"/>
      <c r="R121" s="94"/>
    </row>
    <row r="122" spans="1:18" ht="12" customHeight="1">
      <c r="A122" s="94"/>
      <c r="B122" s="94"/>
      <c r="C122" s="94"/>
      <c r="D122" s="94"/>
      <c r="E122" s="94"/>
      <c r="F122" s="94"/>
      <c r="G122" s="94"/>
      <c r="H122" s="94"/>
      <c r="I122" s="94"/>
      <c r="J122" s="94"/>
      <c r="K122" s="94"/>
      <c r="L122" s="94"/>
      <c r="M122" s="95"/>
      <c r="N122" s="95"/>
      <c r="O122" s="95"/>
      <c r="P122" s="95"/>
      <c r="Q122" s="94"/>
      <c r="R122" s="94"/>
    </row>
    <row r="123" spans="1:18" ht="12" customHeight="1">
      <c r="A123" s="94"/>
      <c r="B123" s="94"/>
      <c r="C123" s="94"/>
      <c r="D123" s="94"/>
      <c r="E123" s="94"/>
      <c r="F123" s="94"/>
      <c r="G123" s="94"/>
      <c r="H123" s="94"/>
      <c r="I123" s="94"/>
      <c r="J123" s="94"/>
      <c r="K123" s="94"/>
      <c r="L123" s="94"/>
      <c r="M123" s="95"/>
      <c r="N123" s="95"/>
      <c r="O123" s="95"/>
      <c r="P123" s="95"/>
      <c r="Q123" s="94"/>
      <c r="R123" s="94"/>
    </row>
    <row r="124" spans="1:18" ht="12" customHeight="1">
      <c r="A124" s="94"/>
      <c r="B124" s="94"/>
      <c r="C124" s="94"/>
      <c r="D124" s="94"/>
      <c r="E124" s="94"/>
      <c r="F124" s="94"/>
      <c r="G124" s="94"/>
      <c r="H124" s="94"/>
      <c r="I124" s="94"/>
      <c r="J124" s="94"/>
      <c r="K124" s="94"/>
      <c r="L124" s="94"/>
      <c r="M124" s="95"/>
      <c r="N124" s="95"/>
      <c r="O124" s="95"/>
      <c r="P124" s="95"/>
      <c r="Q124" s="94"/>
      <c r="R124" s="94"/>
    </row>
    <row r="125" spans="1:18" ht="12" customHeight="1">
      <c r="A125" s="94"/>
      <c r="B125" s="94"/>
      <c r="C125" s="94"/>
      <c r="D125" s="94"/>
      <c r="E125" s="94"/>
      <c r="F125" s="94"/>
      <c r="G125" s="94"/>
      <c r="H125" s="94"/>
      <c r="I125" s="94"/>
      <c r="J125" s="94"/>
      <c r="K125" s="94"/>
      <c r="L125" s="94"/>
      <c r="M125" s="95"/>
      <c r="N125" s="95"/>
      <c r="O125" s="95"/>
      <c r="P125" s="95"/>
      <c r="Q125" s="94"/>
      <c r="R125" s="94"/>
    </row>
    <row r="126" spans="1:18" ht="12" customHeight="1">
      <c r="A126" s="94"/>
      <c r="B126" s="94"/>
      <c r="C126" s="94"/>
      <c r="D126" s="94"/>
      <c r="E126" s="94"/>
      <c r="F126" s="94"/>
      <c r="G126" s="94"/>
      <c r="H126" s="94"/>
      <c r="I126" s="94"/>
      <c r="J126" s="94"/>
      <c r="K126" s="94"/>
      <c r="L126" s="94"/>
      <c r="M126" s="95"/>
      <c r="N126" s="95"/>
      <c r="O126" s="95"/>
      <c r="P126" s="95"/>
      <c r="Q126" s="94"/>
      <c r="R126" s="94"/>
    </row>
    <row r="127" spans="1:18" ht="12" customHeight="1">
      <c r="A127" s="94"/>
      <c r="B127" s="94"/>
      <c r="C127" s="94"/>
      <c r="D127" s="94"/>
      <c r="E127" s="94"/>
      <c r="F127" s="94"/>
      <c r="G127" s="94"/>
      <c r="H127" s="94"/>
      <c r="I127" s="94"/>
      <c r="J127" s="94"/>
      <c r="K127" s="94"/>
      <c r="L127" s="94"/>
      <c r="M127" s="95"/>
      <c r="N127" s="95"/>
      <c r="O127" s="95"/>
      <c r="P127" s="95"/>
      <c r="Q127" s="94"/>
      <c r="R127" s="94"/>
    </row>
    <row r="128" spans="1:18" ht="12" customHeight="1">
      <c r="A128" s="94"/>
      <c r="B128" s="94"/>
      <c r="C128" s="94"/>
      <c r="D128" s="94"/>
      <c r="E128" s="94"/>
      <c r="F128" s="94"/>
      <c r="G128" s="94"/>
      <c r="H128" s="94"/>
      <c r="I128" s="94"/>
      <c r="J128" s="94"/>
      <c r="K128" s="94"/>
      <c r="L128" s="94"/>
      <c r="M128" s="95"/>
      <c r="N128" s="95"/>
      <c r="O128" s="95"/>
      <c r="P128" s="95"/>
      <c r="Q128" s="94"/>
      <c r="R128" s="94"/>
    </row>
    <row r="129" spans="1:18" ht="12" customHeight="1">
      <c r="A129" s="94"/>
      <c r="B129" s="94"/>
      <c r="C129" s="94"/>
      <c r="D129" s="94"/>
      <c r="E129" s="94"/>
      <c r="F129" s="94"/>
      <c r="G129" s="94"/>
      <c r="H129" s="94"/>
      <c r="I129" s="94"/>
      <c r="J129" s="94"/>
      <c r="K129" s="94"/>
      <c r="L129" s="94"/>
      <c r="M129" s="95"/>
      <c r="N129" s="95"/>
      <c r="O129" s="95"/>
      <c r="P129" s="95"/>
      <c r="Q129" s="94"/>
      <c r="R129" s="94"/>
    </row>
    <row r="130" spans="1:18" ht="12" customHeight="1">
      <c r="A130" s="94"/>
      <c r="B130" s="94"/>
      <c r="C130" s="94"/>
      <c r="D130" s="94"/>
      <c r="E130" s="94"/>
      <c r="F130" s="94"/>
      <c r="G130" s="94"/>
      <c r="H130" s="94"/>
      <c r="I130" s="94"/>
      <c r="J130" s="94"/>
      <c r="K130" s="94"/>
      <c r="L130" s="94"/>
      <c r="M130" s="95"/>
      <c r="N130" s="95"/>
      <c r="O130" s="95"/>
      <c r="P130" s="95"/>
      <c r="Q130" s="94"/>
      <c r="R130" s="94"/>
    </row>
    <row r="131" spans="1:18" ht="12" customHeight="1">
      <c r="A131" s="94"/>
      <c r="B131" s="94"/>
      <c r="C131" s="94"/>
      <c r="D131" s="94"/>
      <c r="E131" s="94"/>
      <c r="F131" s="94"/>
      <c r="G131" s="94"/>
      <c r="H131" s="94"/>
      <c r="I131" s="94"/>
      <c r="J131" s="94"/>
      <c r="K131" s="94"/>
      <c r="L131" s="94"/>
      <c r="M131" s="95"/>
      <c r="N131" s="95"/>
      <c r="O131" s="95"/>
      <c r="P131" s="95"/>
      <c r="Q131" s="94"/>
      <c r="R131" s="94"/>
    </row>
    <row r="132" spans="1:18" ht="12" customHeight="1">
      <c r="A132" s="94"/>
      <c r="B132" s="94"/>
      <c r="C132" s="94"/>
      <c r="D132" s="94"/>
      <c r="E132" s="94"/>
      <c r="F132" s="94"/>
      <c r="G132" s="94"/>
      <c r="H132" s="94"/>
      <c r="I132" s="94"/>
      <c r="J132" s="94"/>
      <c r="K132" s="94"/>
      <c r="L132" s="94"/>
      <c r="M132" s="95"/>
      <c r="N132" s="95"/>
      <c r="O132" s="95"/>
      <c r="P132" s="95"/>
      <c r="Q132" s="94"/>
      <c r="R132" s="94"/>
    </row>
    <row r="133" spans="1:18" ht="12" customHeight="1">
      <c r="A133" s="94"/>
      <c r="B133" s="94"/>
      <c r="C133" s="94"/>
      <c r="D133" s="94"/>
      <c r="E133" s="94"/>
      <c r="F133" s="94"/>
      <c r="G133" s="94"/>
      <c r="H133" s="94"/>
      <c r="I133" s="94"/>
      <c r="J133" s="94"/>
      <c r="K133" s="94"/>
      <c r="L133" s="94"/>
      <c r="M133" s="95"/>
      <c r="N133" s="95"/>
      <c r="O133" s="95"/>
      <c r="P133" s="95"/>
      <c r="Q133" s="94"/>
      <c r="R133" s="94"/>
    </row>
    <row r="134" spans="1:18" ht="12" customHeight="1">
      <c r="A134" s="94"/>
      <c r="B134" s="94"/>
      <c r="C134" s="94"/>
      <c r="D134" s="94"/>
      <c r="E134" s="94"/>
      <c r="F134" s="94"/>
      <c r="G134" s="94"/>
      <c r="H134" s="94"/>
      <c r="I134" s="94"/>
      <c r="J134" s="94"/>
      <c r="K134" s="94"/>
      <c r="L134" s="94"/>
      <c r="M134" s="95"/>
      <c r="N134" s="95"/>
      <c r="O134" s="95"/>
      <c r="P134" s="95"/>
      <c r="Q134" s="94"/>
      <c r="R134" s="94"/>
    </row>
    <row r="135" spans="1:18" ht="12" customHeight="1">
      <c r="A135" s="94"/>
      <c r="B135" s="94"/>
      <c r="C135" s="94"/>
      <c r="D135" s="94"/>
      <c r="E135" s="94"/>
      <c r="F135" s="94"/>
      <c r="G135" s="94"/>
      <c r="H135" s="94"/>
      <c r="I135" s="94"/>
      <c r="J135" s="94"/>
      <c r="K135" s="94"/>
      <c r="L135" s="94"/>
      <c r="M135" s="95"/>
      <c r="N135" s="95"/>
      <c r="O135" s="95"/>
      <c r="P135" s="95"/>
      <c r="Q135" s="94"/>
      <c r="R135" s="94"/>
    </row>
    <row r="136" spans="1:18" ht="12" customHeight="1">
      <c r="A136" s="228"/>
      <c r="B136" s="94"/>
      <c r="C136" s="94"/>
      <c r="D136" s="94"/>
      <c r="E136" s="94"/>
      <c r="F136" s="94"/>
      <c r="G136" s="94"/>
      <c r="H136" s="94"/>
      <c r="I136" s="94"/>
      <c r="J136" s="94"/>
      <c r="K136" s="94"/>
      <c r="L136" s="94"/>
      <c r="M136" s="95"/>
      <c r="N136" s="95"/>
      <c r="O136" s="95"/>
      <c r="P136" s="95"/>
      <c r="Q136" s="94"/>
      <c r="R136" s="94"/>
    </row>
    <row r="137" spans="1:18" ht="12" customHeight="1">
      <c r="A137" s="228"/>
      <c r="B137" s="94"/>
      <c r="C137" s="94"/>
      <c r="D137" s="94"/>
      <c r="E137" s="94"/>
      <c r="F137" s="94"/>
      <c r="G137" s="94"/>
      <c r="H137" s="94"/>
      <c r="I137" s="94"/>
      <c r="J137" s="94"/>
      <c r="K137" s="94"/>
      <c r="L137" s="94"/>
      <c r="M137" s="95"/>
      <c r="N137" s="95"/>
      <c r="O137" s="95"/>
      <c r="P137" s="95"/>
      <c r="Q137" s="94"/>
      <c r="R137" s="94"/>
    </row>
    <row r="138" spans="1:18" ht="12" customHeight="1">
      <c r="A138" s="228"/>
      <c r="B138" s="94"/>
      <c r="C138" s="94"/>
      <c r="D138" s="94"/>
      <c r="E138" s="94"/>
      <c r="F138" s="94"/>
      <c r="G138" s="94"/>
      <c r="H138" s="94"/>
      <c r="I138" s="94"/>
      <c r="J138" s="94"/>
      <c r="K138" s="94"/>
      <c r="L138" s="94"/>
      <c r="M138" s="95"/>
      <c r="N138" s="95"/>
      <c r="O138" s="95"/>
      <c r="P138" s="95"/>
      <c r="Q138" s="94"/>
      <c r="R138" s="94"/>
    </row>
    <row r="139" spans="1:18" ht="12" customHeight="1">
      <c r="A139" s="94"/>
      <c r="B139" s="94"/>
      <c r="C139" s="94"/>
      <c r="D139" s="94"/>
      <c r="E139" s="94"/>
      <c r="F139" s="94"/>
      <c r="G139" s="94"/>
      <c r="H139" s="94"/>
      <c r="I139" s="94"/>
      <c r="J139" s="94"/>
      <c r="K139" s="94"/>
      <c r="L139" s="94"/>
      <c r="M139" s="95"/>
      <c r="N139" s="95"/>
      <c r="O139" s="95"/>
      <c r="P139" s="95"/>
      <c r="Q139" s="94"/>
      <c r="R139" s="94"/>
    </row>
    <row r="140" spans="1:18" ht="12" customHeight="1">
      <c r="A140" s="94"/>
      <c r="B140" s="94"/>
      <c r="C140" s="94"/>
      <c r="D140" s="94"/>
      <c r="E140" s="94"/>
      <c r="F140" s="94"/>
      <c r="G140" s="94"/>
      <c r="H140" s="94"/>
      <c r="I140" s="94"/>
      <c r="J140" s="94"/>
      <c r="K140" s="94"/>
      <c r="L140" s="94"/>
      <c r="M140" s="95"/>
      <c r="N140" s="95"/>
      <c r="O140" s="95"/>
      <c r="P140" s="95"/>
      <c r="Q140" s="94"/>
      <c r="R140" s="94"/>
    </row>
    <row r="141" spans="1:18" ht="12" customHeight="1">
      <c r="A141" s="94"/>
      <c r="B141" s="94"/>
      <c r="C141" s="94"/>
      <c r="D141" s="94"/>
      <c r="E141" s="94"/>
      <c r="F141" s="94"/>
      <c r="G141" s="94"/>
      <c r="H141" s="94"/>
      <c r="I141" s="94"/>
      <c r="J141" s="94"/>
      <c r="K141" s="94"/>
      <c r="L141" s="94"/>
      <c r="M141" s="95"/>
      <c r="N141" s="95"/>
      <c r="O141" s="95"/>
      <c r="P141" s="95"/>
      <c r="Q141" s="94"/>
      <c r="R141" s="94"/>
    </row>
    <row r="142" spans="1:18" ht="12" customHeight="1">
      <c r="A142" s="94"/>
      <c r="B142" s="94"/>
      <c r="C142" s="94"/>
      <c r="D142" s="94"/>
      <c r="E142" s="94"/>
      <c r="F142" s="94"/>
      <c r="G142" s="94"/>
      <c r="H142" s="94"/>
      <c r="I142" s="94"/>
      <c r="J142" s="94"/>
      <c r="K142" s="94"/>
      <c r="L142" s="94"/>
      <c r="M142" s="95"/>
      <c r="N142" s="95"/>
      <c r="O142" s="95"/>
      <c r="P142" s="95"/>
      <c r="Q142" s="94"/>
      <c r="R142" s="94"/>
    </row>
    <row r="143" spans="1:18" ht="12" customHeight="1">
      <c r="A143" s="94"/>
      <c r="B143" s="94"/>
      <c r="C143" s="94"/>
      <c r="D143" s="94"/>
      <c r="E143" s="94"/>
      <c r="F143" s="94"/>
      <c r="G143" s="94"/>
      <c r="H143" s="94"/>
      <c r="I143" s="94"/>
      <c r="J143" s="94"/>
      <c r="K143" s="94"/>
      <c r="L143" s="94"/>
      <c r="M143" s="95"/>
      <c r="N143" s="95"/>
      <c r="O143" s="95"/>
      <c r="P143" s="95"/>
      <c r="Q143" s="94"/>
      <c r="R143" s="94"/>
    </row>
    <row r="144" spans="1:18" ht="12" customHeight="1">
      <c r="A144" s="94"/>
      <c r="B144" s="94"/>
      <c r="C144" s="94"/>
      <c r="D144" s="94"/>
      <c r="E144" s="94"/>
      <c r="F144" s="94"/>
      <c r="G144" s="94"/>
      <c r="H144" s="94"/>
      <c r="I144" s="94"/>
      <c r="J144" s="94"/>
      <c r="K144" s="94"/>
      <c r="L144" s="94"/>
      <c r="M144" s="95"/>
      <c r="N144" s="95"/>
      <c r="O144" s="95"/>
      <c r="P144" s="95"/>
      <c r="Q144" s="94"/>
      <c r="R144" s="94"/>
    </row>
    <row r="145" spans="1:18" ht="12" customHeight="1">
      <c r="A145" s="94"/>
      <c r="B145" s="94"/>
      <c r="C145" s="94"/>
      <c r="D145" s="94"/>
      <c r="E145" s="94"/>
      <c r="F145" s="94"/>
      <c r="G145" s="94"/>
      <c r="H145" s="94"/>
      <c r="I145" s="94"/>
      <c r="J145" s="94"/>
      <c r="K145" s="94"/>
      <c r="L145" s="94"/>
      <c r="M145" s="95"/>
      <c r="N145" s="95"/>
      <c r="O145" s="95"/>
      <c r="P145" s="95"/>
      <c r="Q145" s="94"/>
      <c r="R145" s="94"/>
    </row>
    <row r="146" spans="1:18" ht="12" customHeight="1">
      <c r="A146" s="94"/>
      <c r="B146" s="94"/>
      <c r="C146" s="94"/>
      <c r="D146" s="94"/>
      <c r="E146" s="94"/>
      <c r="F146" s="94"/>
      <c r="G146" s="94"/>
      <c r="H146" s="94"/>
      <c r="I146" s="94"/>
      <c r="J146" s="94"/>
      <c r="K146" s="94"/>
      <c r="L146" s="94"/>
      <c r="M146" s="95"/>
      <c r="N146" s="95"/>
      <c r="O146" s="95"/>
      <c r="P146" s="95"/>
      <c r="Q146" s="94"/>
      <c r="R146" s="94"/>
    </row>
    <row r="147" spans="1:18" ht="12" customHeight="1">
      <c r="A147" s="94"/>
      <c r="B147" s="94"/>
      <c r="C147" s="94"/>
      <c r="D147" s="94"/>
      <c r="E147" s="94"/>
      <c r="F147" s="94"/>
      <c r="G147" s="94"/>
      <c r="H147" s="94"/>
      <c r="I147" s="94"/>
      <c r="J147" s="94"/>
      <c r="K147" s="94"/>
      <c r="L147" s="94"/>
      <c r="M147" s="95"/>
      <c r="N147" s="95"/>
      <c r="O147" s="95"/>
      <c r="P147" s="95"/>
      <c r="Q147" s="94"/>
      <c r="R147" s="94"/>
    </row>
    <row r="148" spans="1:18" ht="12" customHeight="1">
      <c r="A148" s="94"/>
      <c r="B148" s="94"/>
      <c r="C148" s="94"/>
      <c r="D148" s="94"/>
      <c r="E148" s="94"/>
      <c r="F148" s="94"/>
      <c r="G148" s="94"/>
      <c r="H148" s="94"/>
      <c r="I148" s="94"/>
      <c r="J148" s="94"/>
      <c r="K148" s="94"/>
      <c r="L148" s="94"/>
      <c r="M148" s="95"/>
      <c r="N148" s="95"/>
      <c r="O148" s="95"/>
      <c r="P148" s="95"/>
      <c r="Q148" s="94"/>
      <c r="R148" s="94"/>
    </row>
    <row r="149" spans="1:18" ht="12" customHeight="1">
      <c r="A149" s="94"/>
      <c r="B149" s="94"/>
      <c r="C149" s="94"/>
      <c r="D149" s="94"/>
      <c r="E149" s="94"/>
      <c r="F149" s="94"/>
      <c r="G149" s="94"/>
      <c r="H149" s="94"/>
      <c r="I149" s="94"/>
      <c r="J149" s="94"/>
      <c r="K149" s="94"/>
      <c r="L149" s="94"/>
      <c r="M149" s="95"/>
      <c r="N149" s="95"/>
      <c r="O149" s="95"/>
      <c r="P149" s="95"/>
      <c r="Q149" s="94"/>
      <c r="R149" s="94"/>
    </row>
    <row r="150" spans="1:18" ht="12" customHeight="1">
      <c r="A150" s="94"/>
      <c r="B150" s="94"/>
      <c r="C150" s="94"/>
      <c r="D150" s="94"/>
      <c r="E150" s="94"/>
      <c r="F150" s="94"/>
      <c r="G150" s="94"/>
      <c r="H150" s="94"/>
      <c r="I150" s="94"/>
      <c r="J150" s="94"/>
      <c r="K150" s="94"/>
      <c r="L150" s="94"/>
      <c r="M150" s="95"/>
      <c r="N150" s="95"/>
      <c r="O150" s="95"/>
      <c r="P150" s="95"/>
      <c r="Q150" s="94"/>
      <c r="R150" s="94"/>
    </row>
    <row r="151" spans="1:18" ht="12" customHeight="1">
      <c r="A151" s="94"/>
      <c r="B151" s="94"/>
      <c r="C151" s="94"/>
      <c r="D151" s="94"/>
      <c r="E151" s="94"/>
      <c r="F151" s="94"/>
      <c r="G151" s="94"/>
      <c r="H151" s="94"/>
      <c r="I151" s="94"/>
      <c r="J151" s="94"/>
      <c r="K151" s="94"/>
      <c r="L151" s="94"/>
      <c r="M151" s="95"/>
      <c r="N151" s="95"/>
      <c r="O151" s="95"/>
      <c r="P151" s="95"/>
      <c r="Q151" s="94"/>
      <c r="R151" s="94"/>
    </row>
    <row r="152" spans="1:18" ht="12" customHeight="1">
      <c r="A152" s="94"/>
      <c r="B152" s="94"/>
      <c r="C152" s="94"/>
      <c r="D152" s="94"/>
      <c r="E152" s="94"/>
      <c r="F152" s="94"/>
      <c r="G152" s="94"/>
      <c r="H152" s="94"/>
      <c r="I152" s="94"/>
      <c r="J152" s="94"/>
      <c r="K152" s="94"/>
      <c r="L152" s="94"/>
      <c r="M152" s="95"/>
      <c r="N152" s="95"/>
      <c r="O152" s="95"/>
      <c r="P152" s="95"/>
      <c r="Q152" s="94"/>
      <c r="R152" s="94"/>
    </row>
    <row r="153" spans="1:18" ht="12" customHeight="1">
      <c r="A153" s="94"/>
      <c r="B153" s="94"/>
      <c r="C153" s="94"/>
      <c r="D153" s="94"/>
      <c r="E153" s="94"/>
      <c r="F153" s="94"/>
      <c r="G153" s="94"/>
      <c r="H153" s="94"/>
      <c r="I153" s="94"/>
      <c r="J153" s="94"/>
      <c r="K153" s="94"/>
      <c r="L153" s="94"/>
      <c r="M153" s="95"/>
      <c r="N153" s="95"/>
      <c r="O153" s="95"/>
      <c r="P153" s="95"/>
      <c r="Q153" s="94"/>
      <c r="R153" s="94"/>
    </row>
    <row r="154" spans="1:18" ht="12" customHeight="1">
      <c r="A154" s="94"/>
      <c r="B154" s="94"/>
      <c r="C154" s="94"/>
      <c r="D154" s="94"/>
      <c r="E154" s="94"/>
      <c r="F154" s="94"/>
      <c r="G154" s="94"/>
      <c r="H154" s="94"/>
      <c r="I154" s="94"/>
      <c r="J154" s="94"/>
      <c r="K154" s="94"/>
      <c r="L154" s="94"/>
      <c r="M154" s="95"/>
      <c r="N154" s="95"/>
      <c r="O154" s="95"/>
      <c r="P154" s="95"/>
      <c r="Q154" s="94"/>
      <c r="R154" s="94"/>
    </row>
    <row r="155" spans="1:18" ht="12" customHeight="1">
      <c r="A155" s="94"/>
      <c r="B155" s="94"/>
      <c r="C155" s="94"/>
      <c r="D155" s="94"/>
      <c r="E155" s="94"/>
      <c r="F155" s="94"/>
      <c r="G155" s="94"/>
      <c r="H155" s="94"/>
      <c r="I155" s="94"/>
      <c r="J155" s="94"/>
      <c r="K155" s="94"/>
      <c r="L155" s="94"/>
      <c r="M155" s="95"/>
      <c r="N155" s="95"/>
      <c r="O155" s="95"/>
      <c r="P155" s="95"/>
      <c r="Q155" s="94"/>
      <c r="R155" s="94"/>
    </row>
    <row r="156" spans="1:18" ht="12" customHeight="1">
      <c r="A156" s="94"/>
      <c r="B156" s="94"/>
      <c r="C156" s="94"/>
      <c r="D156" s="94"/>
      <c r="E156" s="94"/>
      <c r="F156" s="94"/>
      <c r="G156" s="94"/>
      <c r="H156" s="94"/>
      <c r="I156" s="94"/>
      <c r="J156" s="94"/>
      <c r="K156" s="94"/>
      <c r="L156" s="94"/>
      <c r="M156" s="95"/>
      <c r="N156" s="95"/>
      <c r="O156" s="95"/>
      <c r="P156" s="95"/>
      <c r="Q156" s="94"/>
      <c r="R156" s="94"/>
    </row>
    <row r="157" spans="1:18" ht="12" customHeight="1">
      <c r="A157" s="94"/>
      <c r="B157" s="94"/>
      <c r="C157" s="94"/>
      <c r="D157" s="94"/>
      <c r="E157" s="94"/>
      <c r="F157" s="94"/>
      <c r="G157" s="94"/>
      <c r="H157" s="94"/>
      <c r="I157" s="94"/>
      <c r="J157" s="94"/>
      <c r="K157" s="94"/>
      <c r="L157" s="94"/>
      <c r="M157" s="95"/>
      <c r="N157" s="95"/>
      <c r="O157" s="95"/>
      <c r="P157" s="95"/>
      <c r="Q157" s="94"/>
      <c r="R157" s="94"/>
    </row>
    <row r="158" spans="1:18" ht="12" customHeight="1">
      <c r="A158" s="94"/>
      <c r="B158" s="94"/>
      <c r="C158" s="94"/>
      <c r="D158" s="94"/>
      <c r="E158" s="94"/>
      <c r="F158" s="94"/>
      <c r="G158" s="94"/>
      <c r="H158" s="94"/>
      <c r="I158" s="94"/>
      <c r="J158" s="94"/>
      <c r="K158" s="94"/>
      <c r="L158" s="94"/>
      <c r="M158" s="95"/>
      <c r="N158" s="95"/>
      <c r="O158" s="95"/>
      <c r="P158" s="95"/>
      <c r="Q158" s="94"/>
      <c r="R158" s="94"/>
    </row>
    <row r="159" spans="1:18" ht="12" customHeight="1">
      <c r="A159" s="94"/>
      <c r="B159" s="94"/>
      <c r="C159" s="94"/>
      <c r="D159" s="94"/>
      <c r="E159" s="94"/>
      <c r="F159" s="94"/>
      <c r="G159" s="94"/>
      <c r="H159" s="94"/>
      <c r="I159" s="94"/>
      <c r="J159" s="94"/>
      <c r="K159" s="94"/>
      <c r="L159" s="94"/>
      <c r="M159" s="95"/>
      <c r="N159" s="95"/>
      <c r="O159" s="95"/>
      <c r="P159" s="95"/>
      <c r="Q159" s="94"/>
      <c r="R159" s="94"/>
    </row>
    <row r="160" spans="1:18" ht="12" customHeight="1">
      <c r="A160" s="94"/>
      <c r="B160" s="94"/>
      <c r="C160" s="94"/>
      <c r="D160" s="94"/>
      <c r="E160" s="94"/>
      <c r="F160" s="94"/>
      <c r="G160" s="94"/>
      <c r="H160" s="94"/>
      <c r="I160" s="94"/>
      <c r="J160" s="94"/>
      <c r="K160" s="94"/>
      <c r="L160" s="94"/>
      <c r="M160" s="95"/>
      <c r="N160" s="95"/>
      <c r="O160" s="95"/>
      <c r="P160" s="95"/>
      <c r="Q160" s="94"/>
      <c r="R160" s="94"/>
    </row>
    <row r="161" spans="1:18" ht="12" customHeight="1">
      <c r="A161" s="94"/>
      <c r="B161" s="94"/>
      <c r="C161" s="94"/>
      <c r="D161" s="94"/>
      <c r="E161" s="94"/>
      <c r="F161" s="94"/>
      <c r="G161" s="94"/>
      <c r="H161" s="94"/>
      <c r="I161" s="94"/>
      <c r="J161" s="94"/>
      <c r="K161" s="94"/>
      <c r="L161" s="94"/>
      <c r="M161" s="95"/>
      <c r="N161" s="95"/>
      <c r="O161" s="95"/>
      <c r="P161" s="95"/>
      <c r="Q161" s="94"/>
      <c r="R161" s="94"/>
    </row>
    <row r="162" spans="1:18" ht="12" customHeight="1">
      <c r="A162" s="94"/>
      <c r="B162" s="94"/>
      <c r="C162" s="94"/>
      <c r="D162" s="94"/>
      <c r="E162" s="94"/>
      <c r="F162" s="94"/>
      <c r="G162" s="94"/>
      <c r="H162" s="94"/>
      <c r="I162" s="94"/>
      <c r="J162" s="94"/>
      <c r="K162" s="94"/>
      <c r="L162" s="94"/>
      <c r="M162" s="95"/>
      <c r="N162" s="95"/>
      <c r="O162" s="95"/>
      <c r="P162" s="95"/>
      <c r="Q162" s="94"/>
      <c r="R162" s="94"/>
    </row>
    <row r="163" spans="1:18" ht="12" customHeight="1">
      <c r="A163" s="94"/>
      <c r="B163" s="94"/>
      <c r="C163" s="94"/>
      <c r="D163" s="94"/>
      <c r="E163" s="94"/>
      <c r="F163" s="94"/>
      <c r="G163" s="94"/>
      <c r="H163" s="94"/>
      <c r="I163" s="94"/>
      <c r="J163" s="94"/>
      <c r="K163" s="94"/>
      <c r="L163" s="94"/>
      <c r="M163" s="95"/>
      <c r="N163" s="95"/>
      <c r="O163" s="95"/>
      <c r="P163" s="95"/>
      <c r="Q163" s="94"/>
      <c r="R163" s="94"/>
    </row>
  </sheetData>
  <sheetProtection algorithmName="SHA-512" hashValue="cGY75vvf3g6akg9axjDEyko/4WzD2wxMU2pPH276Q5+X5ER2Mqp11kJy8MUIDoD+uhs97E7C+v+csYWyCrD61g==" saltValue="DHrZ9vuWP1fWiMwp7k/rWw==" spinCount="100000" sheet="1" objects="1" scenarios="1"/>
  <mergeCells count="67">
    <mergeCell ref="M4:M8"/>
    <mergeCell ref="N4:N8"/>
    <mergeCell ref="O4:O8"/>
    <mergeCell ref="P4:P8"/>
    <mergeCell ref="F7:G7"/>
    <mergeCell ref="H7:I7"/>
    <mergeCell ref="F8:J8"/>
    <mergeCell ref="E4:J6"/>
    <mergeCell ref="K4:L7"/>
    <mergeCell ref="B10:B14"/>
    <mergeCell ref="F10:H10"/>
    <mergeCell ref="J10:J18"/>
    <mergeCell ref="K10:K18"/>
    <mergeCell ref="L10:L18"/>
    <mergeCell ref="M10:M11"/>
    <mergeCell ref="N10:N11"/>
    <mergeCell ref="O10:O11"/>
    <mergeCell ref="P10:P11"/>
    <mergeCell ref="F11:I11"/>
    <mergeCell ref="N19:N20"/>
    <mergeCell ref="O19:O20"/>
    <mergeCell ref="P19:P20"/>
    <mergeCell ref="F20:H20"/>
    <mergeCell ref="F21:H21"/>
    <mergeCell ref="F19:H19"/>
    <mergeCell ref="J19:J24"/>
    <mergeCell ref="K19:K24"/>
    <mergeCell ref="L19:L24"/>
    <mergeCell ref="M19:M20"/>
    <mergeCell ref="G22:H22"/>
    <mergeCell ref="G23:H23"/>
    <mergeCell ref="N25:N26"/>
    <mergeCell ref="O25:O26"/>
    <mergeCell ref="P25:P26"/>
    <mergeCell ref="F26:H26"/>
    <mergeCell ref="F30:H30"/>
    <mergeCell ref="F25:H25"/>
    <mergeCell ref="J25:J31"/>
    <mergeCell ref="K25:K31"/>
    <mergeCell ref="L25:L31"/>
    <mergeCell ref="M25:M26"/>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K51:L51"/>
    <mergeCell ref="K52:L52"/>
    <mergeCell ref="K53:L53"/>
    <mergeCell ref="B58:Q58"/>
    <mergeCell ref="M45:M46"/>
    <mergeCell ref="N45:N46"/>
    <mergeCell ref="O45:O46"/>
    <mergeCell ref="P45:P46"/>
    <mergeCell ref="K49:L49"/>
    <mergeCell ref="K50:L50"/>
  </mergeCells>
  <pageMargins left="0.7" right="0.7" top="0.78749999999999998" bottom="0.78749999999999998" header="0.51180555555555551" footer="0.51180555555555551"/>
  <pageSetup paperSize="9"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R19"/>
  <sheetViews>
    <sheetView showGridLines="0" zoomScale="75" zoomScaleNormal="75" workbookViewId="0"/>
  </sheetViews>
  <sheetFormatPr baseColWidth="10" defaultColWidth="10.6640625" defaultRowHeight="12.75" customHeight="1"/>
  <cols>
    <col min="1" max="1" width="2.6640625" style="1" customWidth="1"/>
    <col min="2" max="2" width="22.33203125" style="1" customWidth="1"/>
    <col min="3" max="3" width="4" style="1" customWidth="1"/>
    <col min="4" max="4" width="3" style="1" customWidth="1"/>
    <col min="5" max="5" width="4" style="1" customWidth="1"/>
    <col min="6" max="6" width="16.33203125" style="1" customWidth="1"/>
    <col min="7" max="7" width="4" style="1" customWidth="1"/>
    <col min="8" max="8" width="3" style="1" customWidth="1"/>
    <col min="9" max="9" width="4" style="1" customWidth="1"/>
    <col min="10" max="10" width="17.6640625" style="1" customWidth="1"/>
    <col min="11" max="11" width="4" style="1" customWidth="1"/>
    <col min="12" max="12" width="3" style="1" customWidth="1"/>
    <col min="13" max="13" width="7.33203125" style="1" customWidth="1"/>
    <col min="14" max="14" width="21.33203125" style="1" customWidth="1"/>
    <col min="15" max="15" width="4" style="1" customWidth="1"/>
    <col min="16" max="16" width="3" style="1" customWidth="1"/>
    <col min="17" max="17" width="4" style="1" customWidth="1"/>
    <col min="18" max="18" width="21" style="1" customWidth="1"/>
    <col min="19" max="16384" width="10.6640625" style="1"/>
  </cols>
  <sheetData>
    <row r="1" spans="1:18" ht="12.75" customHeight="1">
      <c r="A1" s="2"/>
      <c r="B1" s="2"/>
      <c r="C1" s="2"/>
      <c r="D1" s="2"/>
      <c r="E1" s="2"/>
      <c r="F1" s="2"/>
      <c r="G1" s="2"/>
      <c r="H1" s="2"/>
      <c r="I1" s="2"/>
      <c r="J1" s="2"/>
      <c r="K1" s="2"/>
      <c r="L1" s="2"/>
      <c r="M1" s="2"/>
      <c r="N1" s="2"/>
      <c r="O1" s="2"/>
      <c r="P1" s="2"/>
      <c r="Q1" s="2"/>
      <c r="R1" s="2"/>
    </row>
    <row r="2" spans="1:18" ht="12.75" customHeight="1">
      <c r="A2" s="2"/>
      <c r="B2" s="3" t="str">
        <f>'12.lan'!D91&amp;" - "&amp;'0. Intro'!B3&amp;" "&amp;'0. Intro'!C3</f>
        <v>Gemeinwohl-Bilanz-Rechner - Version 5.08</v>
      </c>
      <c r="C2" s="229"/>
      <c r="D2" s="229"/>
      <c r="E2" s="229"/>
      <c r="F2" s="229"/>
      <c r="G2" s="11"/>
      <c r="H2" s="230"/>
      <c r="I2" s="544" t="str">
        <f>'12.lan'!D212</f>
        <v>Anmerkung: Dies ist kein Testat.</v>
      </c>
      <c r="J2" s="544"/>
      <c r="K2" s="544"/>
      <c r="L2" s="544"/>
      <c r="M2" s="544"/>
      <c r="N2" s="544"/>
      <c r="O2" s="544"/>
      <c r="P2" s="2"/>
      <c r="Q2" s="2"/>
      <c r="R2" s="2"/>
    </row>
    <row r="3" spans="1:18" ht="5.25" customHeight="1">
      <c r="A3" s="2"/>
      <c r="B3" s="545" t="str">
        <f>'12.lan'!D213</f>
        <v>GEMEINWOHL-MATRIX</v>
      </c>
      <c r="C3" s="545"/>
      <c r="D3" s="545"/>
      <c r="E3" s="545"/>
      <c r="F3" s="545"/>
      <c r="G3" s="545"/>
      <c r="H3" s="231"/>
      <c r="I3" s="231"/>
      <c r="J3" s="231"/>
      <c r="K3" s="2"/>
      <c r="L3" s="2"/>
      <c r="M3" s="232"/>
      <c r="N3" s="232"/>
      <c r="O3" s="232"/>
      <c r="P3" s="2"/>
      <c r="Q3" s="2"/>
      <c r="R3" s="2"/>
    </row>
    <row r="4" spans="1:18" ht="15" customHeight="1">
      <c r="A4" s="2"/>
      <c r="B4" s="545"/>
      <c r="C4" s="545"/>
      <c r="D4" s="545"/>
      <c r="E4" s="545"/>
      <c r="F4" s="545"/>
      <c r="G4" s="545"/>
      <c r="H4" s="231"/>
      <c r="I4" s="546" t="str">
        <f>'12.lan'!D92</f>
        <v>BILANZSUMME:</v>
      </c>
      <c r="J4" s="546"/>
      <c r="K4" s="547">
        <f>'3. Calc'!I4</f>
        <v>0</v>
      </c>
      <c r="L4" s="547"/>
      <c r="M4" s="548" t="str">
        <f>'12.lan'!D214&amp;" "&amp;'3. Calc'!$J$4&amp;'12.lan'!D215</f>
        <v xml:space="preserve"> von  1000 Punkten</v>
      </c>
      <c r="N4" s="548"/>
      <c r="O4" s="548"/>
      <c r="P4" s="2"/>
      <c r="Q4" s="2"/>
      <c r="R4" s="2"/>
    </row>
    <row r="5" spans="1:18" ht="12.75" customHeight="1">
      <c r="A5" s="2"/>
      <c r="B5" s="8" t="str">
        <f>'12.lan'!D82&amp;": "&amp;'1. General'!C6&amp;"; "&amp;'12.lan'!D83&amp;": "&amp;'1. General'!C12</f>
        <v xml:space="preserve">Unternehmen: ; Bilanz-Jahr: </v>
      </c>
      <c r="C5" s="11"/>
      <c r="D5" s="11"/>
      <c r="E5" s="11"/>
      <c r="F5" s="233"/>
      <c r="G5" s="11"/>
      <c r="H5" s="230"/>
      <c r="I5" s="546"/>
      <c r="J5" s="546"/>
      <c r="K5" s="547"/>
      <c r="L5" s="547"/>
      <c r="M5" s="548"/>
      <c r="N5" s="548"/>
      <c r="O5" s="548"/>
      <c r="P5" s="2"/>
      <c r="Q5" s="2"/>
      <c r="R5" s="2"/>
    </row>
    <row r="6" spans="1:18" ht="18" customHeight="1">
      <c r="A6" s="2"/>
      <c r="B6" s="2"/>
      <c r="C6" s="2"/>
      <c r="D6" s="2"/>
      <c r="E6" s="2"/>
      <c r="F6" s="2"/>
      <c r="G6" s="2"/>
      <c r="H6" s="2"/>
      <c r="I6" s="2"/>
      <c r="J6" s="2"/>
      <c r="K6" s="2"/>
      <c r="L6" s="2"/>
      <c r="M6" s="541"/>
      <c r="N6" s="541"/>
      <c r="O6" s="541"/>
      <c r="P6" s="2"/>
      <c r="Q6" s="2"/>
      <c r="R6" s="2"/>
    </row>
    <row r="7" spans="1:18" ht="36" customHeight="1">
      <c r="A7" s="2"/>
      <c r="B7" s="234" t="str">
        <f>'12.lan'!D206</f>
        <v>Werte ►
Berührungsgruppe ▼</v>
      </c>
      <c r="C7" s="542" t="str">
        <f>'12.lan'!D216</f>
        <v>Menschenwürde</v>
      </c>
      <c r="D7" s="542"/>
      <c r="E7" s="542"/>
      <c r="F7" s="542"/>
      <c r="G7" s="542" t="str">
        <f>'12.lan'!D217</f>
        <v>Solidarität &amp; Gerechtigkeit</v>
      </c>
      <c r="H7" s="542"/>
      <c r="I7" s="542"/>
      <c r="J7" s="542"/>
      <c r="K7" s="543" t="str">
        <f>'12.lan'!D218</f>
        <v>Ökologische Nachhaltigkeit</v>
      </c>
      <c r="L7" s="543"/>
      <c r="M7" s="543"/>
      <c r="N7" s="543"/>
      <c r="O7" s="542" t="str">
        <f>'12.lan'!D219</f>
        <v>Transparenz &amp; Mitentscheidung</v>
      </c>
      <c r="P7" s="542"/>
      <c r="Q7" s="542"/>
      <c r="R7" s="542"/>
    </row>
    <row r="8" spans="1:18" ht="53.25" customHeight="1">
      <c r="A8" s="2"/>
      <c r="B8" s="540" t="str">
        <f>"A: "&amp;'12.lan'!D108</f>
        <v>A: Lieferant*innen</v>
      </c>
      <c r="C8" s="538" t="str">
        <f>'12.lan'!B109</f>
        <v>A1: Menschenwürde in der Zulieferkette</v>
      </c>
      <c r="D8" s="538"/>
      <c r="E8" s="538"/>
      <c r="F8" s="538"/>
      <c r="G8" s="538" t="str">
        <f>'12.lan'!B112</f>
        <v>A2: Solidarität und Gerechtigkeit in der Zulieferkette</v>
      </c>
      <c r="H8" s="538"/>
      <c r="I8" s="538"/>
      <c r="J8" s="538"/>
      <c r="K8" s="538" t="str">
        <f>'12.lan'!B116</f>
        <v>A3: Ökologische Nachhaltigkeit in der Zulieferkette</v>
      </c>
      <c r="L8" s="538"/>
      <c r="M8" s="538"/>
      <c r="N8" s="538"/>
      <c r="O8" s="538" t="str">
        <f>'12.lan'!B119</f>
        <v>A4: Transparenz und Mitentscheidung in der Zulieferkette</v>
      </c>
      <c r="P8" s="538"/>
      <c r="Q8" s="538"/>
      <c r="R8" s="538"/>
    </row>
    <row r="9" spans="1:18" ht="21" customHeight="1">
      <c r="A9" s="2"/>
      <c r="B9" s="540"/>
      <c r="C9" s="235">
        <f>'3. Calc'!I10</f>
        <v>0</v>
      </c>
      <c r="D9" s="236" t="str">
        <f>'12.lan'!$D$214</f>
        <v xml:space="preserve"> von </v>
      </c>
      <c r="E9" s="237">
        <f>'3. Calc'!J10</f>
        <v>50</v>
      </c>
      <c r="F9" s="238">
        <f>ROUND('3. Calc'!H10, 1)</f>
        <v>0</v>
      </c>
      <c r="G9" s="235">
        <f>'3. Calc'!I13</f>
        <v>0</v>
      </c>
      <c r="H9" s="236" t="str">
        <f>'12.lan'!$D$214</f>
        <v xml:space="preserve"> von </v>
      </c>
      <c r="I9" s="237">
        <f>'3. Calc'!J13</f>
        <v>50</v>
      </c>
      <c r="J9" s="238">
        <f>ROUND('3. Calc'!H13, 1)</f>
        <v>0</v>
      </c>
      <c r="K9" s="235">
        <f>'3. Calc'!I17</f>
        <v>0</v>
      </c>
      <c r="L9" s="236" t="str">
        <f>'12.lan'!$D$214</f>
        <v xml:space="preserve"> von </v>
      </c>
      <c r="M9" s="237">
        <f>'3. Calc'!J17</f>
        <v>50</v>
      </c>
      <c r="N9" s="238">
        <f>ROUND('3. Calc'!H17, 1)</f>
        <v>0</v>
      </c>
      <c r="O9" s="235">
        <f>'3. Calc'!I20</f>
        <v>0</v>
      </c>
      <c r="P9" s="236" t="str">
        <f>'12.lan'!$D$214</f>
        <v xml:space="preserve"> von </v>
      </c>
      <c r="Q9" s="237">
        <f>'3. Calc'!J20</f>
        <v>50</v>
      </c>
      <c r="R9" s="238">
        <f>ROUND('3. Calc'!H20, 1)</f>
        <v>0</v>
      </c>
    </row>
    <row r="10" spans="1:18" ht="45" customHeight="1">
      <c r="A10" s="2"/>
      <c r="B10" s="539" t="str">
        <f>"B: "&amp;'12.lan'!D122</f>
        <v>B: Eigentümer*innen und Finanzpartner*innen</v>
      </c>
      <c r="C10" s="538" t="str">
        <f>'12.lan'!B123</f>
        <v>B1: Ethische Haltung im Umgang mit Geldmitteln</v>
      </c>
      <c r="D10" s="538"/>
      <c r="E10" s="538"/>
      <c r="F10" s="538"/>
      <c r="G10" s="538" t="str">
        <f>'12.lan'!B127</f>
        <v>B2: Soziale Haltung im Umgang mit Geldmitteln</v>
      </c>
      <c r="H10" s="538"/>
      <c r="I10" s="538"/>
      <c r="J10" s="538"/>
      <c r="K10" s="538" t="str">
        <f>'12.lan'!B130</f>
        <v>B3: Sozial-ökologische Investitionen und Mittelverwendung</v>
      </c>
      <c r="L10" s="538"/>
      <c r="M10" s="538"/>
      <c r="N10" s="538"/>
      <c r="O10" s="538" t="str">
        <f>'12.lan'!B134&amp;IF('9. Weighting'!I28=1,'12.lan'!D211,"")</f>
        <v>B4: Eigentum und Mitentscheidung</v>
      </c>
      <c r="P10" s="538"/>
      <c r="Q10" s="538"/>
      <c r="R10" s="538"/>
    </row>
    <row r="11" spans="1:18" ht="28.5" customHeight="1">
      <c r="A11" s="2"/>
      <c r="B11" s="539"/>
      <c r="C11" s="235">
        <f>'3. Calc'!I24</f>
        <v>0</v>
      </c>
      <c r="D11" s="236" t="str">
        <f>'12.lan'!$D$214</f>
        <v xml:space="preserve"> von </v>
      </c>
      <c r="E11" s="237">
        <f>'3. Calc'!J24</f>
        <v>50</v>
      </c>
      <c r="F11" s="238">
        <f>ROUND('3. Calc'!H24, 1)</f>
        <v>0</v>
      </c>
      <c r="G11" s="235">
        <f>'3. Calc'!I28</f>
        <v>0</v>
      </c>
      <c r="H11" s="236" t="str">
        <f>'12.lan'!$D$214</f>
        <v xml:space="preserve"> von </v>
      </c>
      <c r="I11" s="237">
        <f>'3. Calc'!J28</f>
        <v>50</v>
      </c>
      <c r="J11" s="238">
        <f>ROUND('3. Calc'!H28, 1)</f>
        <v>0</v>
      </c>
      <c r="K11" s="235">
        <f>'3. Calc'!I31</f>
        <v>0</v>
      </c>
      <c r="L11" s="236" t="str">
        <f>'12.lan'!$D$214</f>
        <v xml:space="preserve"> von </v>
      </c>
      <c r="M11" s="237">
        <f>'3. Calc'!J31</f>
        <v>50</v>
      </c>
      <c r="N11" s="238">
        <f>ROUND('3. Calc'!H31, 1)</f>
        <v>0</v>
      </c>
      <c r="O11" s="235">
        <f>'3. Calc'!I35</f>
        <v>0</v>
      </c>
      <c r="P11" s="236" t="str">
        <f>'12.lan'!$D$214</f>
        <v xml:space="preserve"> von </v>
      </c>
      <c r="Q11" s="237">
        <f>'3. Calc'!J35</f>
        <v>50</v>
      </c>
      <c r="R11" s="238">
        <f>ROUND('3. Calc'!H35, 1)</f>
        <v>0</v>
      </c>
    </row>
    <row r="12" spans="1:18" ht="50.25" customHeight="1">
      <c r="A12" s="2"/>
      <c r="B12" s="537" t="str">
        <f>"C: "&amp;'12.lan'!D137</f>
        <v>C: Mitarbeitende</v>
      </c>
      <c r="C12" s="538" t="str">
        <f>'12.lan'!B138</f>
        <v>C1: Menschenwürde am Arbeitsplatz</v>
      </c>
      <c r="D12" s="538"/>
      <c r="E12" s="538"/>
      <c r="F12" s="538"/>
      <c r="G12" s="538" t="str">
        <f>'12.lan'!B143</f>
        <v>C2: Ausgestaltung der Arbeitsverträge</v>
      </c>
      <c r="H12" s="538"/>
      <c r="I12" s="538"/>
      <c r="J12" s="538"/>
      <c r="K12" s="538" t="str">
        <f>'12.lan'!B148</f>
        <v>C3: Förderung des ökologischen Verhaltens der Mitarbeitenden</v>
      </c>
      <c r="L12" s="538"/>
      <c r="M12" s="538"/>
      <c r="N12" s="538"/>
      <c r="O12" s="538" t="str">
        <f>'12.lan'!B153</f>
        <v>C4: Innerbetriebliche Mitentscheidung und Transparenz</v>
      </c>
      <c r="P12" s="538"/>
      <c r="Q12" s="538"/>
      <c r="R12" s="538"/>
    </row>
    <row r="13" spans="1:18" ht="16.5" customHeight="1">
      <c r="A13" s="2"/>
      <c r="B13" s="537"/>
      <c r="C13" s="235">
        <f>'3. Calc'!I39</f>
        <v>0</v>
      </c>
      <c r="D13" s="236" t="str">
        <f>'12.lan'!$D$214</f>
        <v xml:space="preserve"> von </v>
      </c>
      <c r="E13" s="237">
        <f>'3. Calc'!J39</f>
        <v>50</v>
      </c>
      <c r="F13" s="238">
        <f>ROUND('3. Calc'!H39, 1)</f>
        <v>0</v>
      </c>
      <c r="G13" s="235">
        <f>'3. Calc'!I44</f>
        <v>0</v>
      </c>
      <c r="H13" s="236" t="str">
        <f>'12.lan'!$D$214</f>
        <v xml:space="preserve"> von </v>
      </c>
      <c r="I13" s="237">
        <f>'3. Calc'!J44</f>
        <v>50</v>
      </c>
      <c r="J13" s="238">
        <f>ROUND('3. Calc'!H44, 1)</f>
        <v>0</v>
      </c>
      <c r="K13" s="235">
        <f>'3. Calc'!I49</f>
        <v>0</v>
      </c>
      <c r="L13" s="236" t="str">
        <f>'12.lan'!$D$214</f>
        <v xml:space="preserve"> von </v>
      </c>
      <c r="M13" s="237">
        <f>'3. Calc'!J49</f>
        <v>50</v>
      </c>
      <c r="N13" s="238">
        <f>ROUND('3. Calc'!H49, 1)</f>
        <v>0</v>
      </c>
      <c r="O13" s="235">
        <f>'3. Calc'!I54</f>
        <v>0</v>
      </c>
      <c r="P13" s="236" t="str">
        <f>'12.lan'!$D$214</f>
        <v xml:space="preserve"> von </v>
      </c>
      <c r="Q13" s="237">
        <f>'3. Calc'!J54</f>
        <v>50</v>
      </c>
      <c r="R13" s="238">
        <f>ROUND('3. Calc'!H54, 1)</f>
        <v>0</v>
      </c>
    </row>
    <row r="14" spans="1:18" ht="50.25" customHeight="1">
      <c r="A14" s="2"/>
      <c r="B14" s="537" t="str">
        <f>"D: "&amp;'12.lan'!D158</f>
        <v>D: Kund*nnen und Mitunternehmen</v>
      </c>
      <c r="C14" s="538" t="str">
        <f>'12.lan'!B159</f>
        <v>D1: Ethische Kund*innenbeziehungen</v>
      </c>
      <c r="D14" s="538"/>
      <c r="E14" s="538"/>
      <c r="F14" s="538"/>
      <c r="G14" s="538" t="str">
        <f>'12.lan'!B163</f>
        <v>D2: Kooperation und Solidarität mit Mitunternehmen</v>
      </c>
      <c r="H14" s="538"/>
      <c r="I14" s="538"/>
      <c r="J14" s="538"/>
      <c r="K14" s="538" t="str">
        <f>'12.lan'!B167</f>
        <v>D3: Ökologische Auswirkung durch Nutzung und Entsorgung von Produkten und Dienstleistungen</v>
      </c>
      <c r="L14" s="538"/>
      <c r="M14" s="538"/>
      <c r="N14" s="538"/>
      <c r="O14" s="538" t="str">
        <f>'12.lan'!B171</f>
        <v>D4: Kund*innen-Mitwirkung und Produkttransparenz</v>
      </c>
      <c r="P14" s="538"/>
      <c r="Q14" s="538"/>
      <c r="R14" s="538"/>
    </row>
    <row r="15" spans="1:18" ht="16.5" customHeight="1">
      <c r="A15" s="2"/>
      <c r="B15" s="537"/>
      <c r="C15" s="235">
        <f>'3. Calc'!I60</f>
        <v>0</v>
      </c>
      <c r="D15" s="236" t="str">
        <f>'12.lan'!$D$214</f>
        <v xml:space="preserve"> von </v>
      </c>
      <c r="E15" s="237">
        <f>'3. Calc'!J60</f>
        <v>50</v>
      </c>
      <c r="F15" s="238">
        <f>ROUND('3. Calc'!H60, 1)</f>
        <v>0</v>
      </c>
      <c r="G15" s="235">
        <f>'3. Calc'!I64</f>
        <v>0</v>
      </c>
      <c r="H15" s="236" t="str">
        <f>'12.lan'!$D$214</f>
        <v xml:space="preserve"> von </v>
      </c>
      <c r="I15" s="237">
        <f>'3. Calc'!J64</f>
        <v>50</v>
      </c>
      <c r="J15" s="238">
        <f>ROUND('3. Calc'!H64, 1)</f>
        <v>0</v>
      </c>
      <c r="K15" s="235">
        <f>'3. Calc'!I68</f>
        <v>0</v>
      </c>
      <c r="L15" s="236" t="str">
        <f>'12.lan'!$D$214</f>
        <v xml:space="preserve"> von </v>
      </c>
      <c r="M15" s="237">
        <f>'3. Calc'!J68</f>
        <v>50</v>
      </c>
      <c r="N15" s="238">
        <f>ROUND('3. Calc'!H68, 1)</f>
        <v>0</v>
      </c>
      <c r="O15" s="235">
        <f>'3. Calc'!I72</f>
        <v>0</v>
      </c>
      <c r="P15" s="236" t="str">
        <f>'12.lan'!$D$214</f>
        <v xml:space="preserve"> von </v>
      </c>
      <c r="Q15" s="237">
        <f>'3. Calc'!J72</f>
        <v>50</v>
      </c>
      <c r="R15" s="238">
        <f>ROUND('3. Calc'!H72, 1)</f>
        <v>0</v>
      </c>
    </row>
    <row r="16" spans="1:18" ht="50.25" customHeight="1">
      <c r="A16" s="2"/>
      <c r="B16" s="537" t="str">
        <f>"E: "&amp;'12.lan'!D175</f>
        <v>E: Gesellschaftliches Umfeld</v>
      </c>
      <c r="C16" s="538" t="str">
        <f>'12.lan'!B176</f>
        <v>E1: Sinn und gesellschaftliche Wirkung der Produkte und Dienstleistungen</v>
      </c>
      <c r="D16" s="538"/>
      <c r="E16" s="538"/>
      <c r="F16" s="538"/>
      <c r="G16" s="538" t="str">
        <f>'12.lan'!B180</f>
        <v>E2: Beitrag zum Gemeinwesen</v>
      </c>
      <c r="H16" s="538"/>
      <c r="I16" s="538"/>
      <c r="J16" s="538"/>
      <c r="K16" s="538" t="str">
        <f>'12.lan'!B185</f>
        <v>E3: Reduktion ökologischer Auswirkungen</v>
      </c>
      <c r="L16" s="538"/>
      <c r="M16" s="538"/>
      <c r="N16" s="538"/>
      <c r="O16" s="538" t="str">
        <f>'12.lan'!B189</f>
        <v>E4: Transparenz und gesellschaftliche Mitentscheidung</v>
      </c>
      <c r="P16" s="538"/>
      <c r="Q16" s="538"/>
      <c r="R16" s="538"/>
    </row>
    <row r="17" spans="1:18" ht="16.5" customHeight="1">
      <c r="A17" s="2"/>
      <c r="B17" s="537"/>
      <c r="C17" s="235">
        <f>'3. Calc'!I77</f>
        <v>0</v>
      </c>
      <c r="D17" s="236" t="str">
        <f>'12.lan'!$D$214</f>
        <v xml:space="preserve"> von </v>
      </c>
      <c r="E17" s="237">
        <f>'3. Calc'!J77</f>
        <v>50</v>
      </c>
      <c r="F17" s="238">
        <f>ROUND('3. Calc'!H77, 1)</f>
        <v>0</v>
      </c>
      <c r="G17" s="235">
        <f>'3. Calc'!I81</f>
        <v>0</v>
      </c>
      <c r="H17" s="236" t="str">
        <f>'12.lan'!$D$214</f>
        <v xml:space="preserve"> von </v>
      </c>
      <c r="I17" s="237">
        <f>'3. Calc'!J81</f>
        <v>50</v>
      </c>
      <c r="J17" s="238">
        <f>ROUND('3. Calc'!H81, 1)</f>
        <v>0</v>
      </c>
      <c r="K17" s="235">
        <f>'3. Calc'!I86</f>
        <v>0</v>
      </c>
      <c r="L17" s="236" t="str">
        <f>'12.lan'!$D$214</f>
        <v xml:space="preserve"> von </v>
      </c>
      <c r="M17" s="237">
        <f>'3. Calc'!J86</f>
        <v>50</v>
      </c>
      <c r="N17" s="238">
        <f>ROUND('3. Calc'!H86, 1)</f>
        <v>0</v>
      </c>
      <c r="O17" s="235">
        <f>'3. Calc'!I90</f>
        <v>0</v>
      </c>
      <c r="P17" s="236" t="str">
        <f>'12.lan'!$D$214</f>
        <v xml:space="preserve"> von </v>
      </c>
      <c r="Q17" s="237">
        <f>'3. Calc'!J90</f>
        <v>50</v>
      </c>
      <c r="R17" s="238">
        <f>ROUND('3. Calc'!H90, 1)</f>
        <v>0</v>
      </c>
    </row>
    <row r="19" spans="1:18" ht="12.75" customHeight="1">
      <c r="B19" s="468" t="str">
        <f>'12.lan'!D46</f>
        <v>Bitte beachten Sie, dass die Zahlenformate in der Matrix gerundet
dargestellt werden</v>
      </c>
    </row>
  </sheetData>
  <sheetProtection algorithmName="SHA-512" hashValue="vUcqLgPj4XHSn1mGBFsvsDDcwCGsoyWSaXdivRuHE7O+X6t8SVmLCjwbt/n4xVcUtCSIVXcNfPp0il4/udlLAw==" saltValue="hTafv2MKhnPvBnFaSPWkeA==" spinCount="100000" sheet="1" objects="1" scenarios="1"/>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dxfId="6" priority="1" operator="lessThan">
      <formula>0</formula>
    </cfRule>
  </conditionalFormatting>
  <pageMargins left="0.35416666666666669" right="0.59027777777777779" top="0.35416666666666669" bottom="0.59027777777777779" header="0.51180555555555551" footer="0.51180555555555551"/>
  <pageSetup paperSize="9"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3"/>
  <sheetViews>
    <sheetView showGridLines="0" zoomScale="75" zoomScaleNormal="75" workbookViewId="0"/>
  </sheetViews>
  <sheetFormatPr baseColWidth="10" defaultColWidth="10.6640625" defaultRowHeight="14" customHeight="1"/>
  <cols>
    <col min="1" max="1" width="2.6640625" style="239" customWidth="1"/>
    <col min="2" max="2" width="49.83203125" style="239" customWidth="1"/>
    <col min="3" max="3" width="7.33203125" style="239" customWidth="1"/>
    <col min="4" max="4" width="5.33203125" style="240" customWidth="1"/>
    <col min="5" max="5" width="6.6640625" style="239" customWidth="1"/>
    <col min="6" max="6" width="15" style="241" customWidth="1"/>
    <col min="7" max="7" width="10.6640625" style="239" customWidth="1"/>
    <col min="8" max="16384" width="10.6640625" style="239"/>
  </cols>
  <sheetData>
    <row r="1" spans="1:6" ht="14" customHeight="1">
      <c r="A1" s="242"/>
      <c r="B1" s="243"/>
      <c r="C1" s="244"/>
      <c r="D1" s="243"/>
      <c r="E1" s="245"/>
      <c r="F1" s="244"/>
    </row>
    <row r="2" spans="1:6" ht="14" customHeight="1">
      <c r="A2" s="242"/>
      <c r="B2" s="549" t="str">
        <f>'12.lan'!D91&amp;" - "&amp;'0. Intro'!B3&amp;" "&amp;'0. Intro'!C3</f>
        <v>Gemeinwohl-Bilanz-Rechner - Version 5.08</v>
      </c>
      <c r="C2" s="549"/>
      <c r="D2" s="549"/>
      <c r="E2" s="549"/>
      <c r="F2" s="549"/>
    </row>
    <row r="3" spans="1:6" ht="7.5" customHeight="1">
      <c r="A3" s="242"/>
      <c r="B3" s="550" t="str">
        <f>'12.lan'!D241&amp;'1. General'!C6</f>
        <v xml:space="preserve">Werte-Stern für </v>
      </c>
      <c r="C3" s="550"/>
      <c r="D3" s="550"/>
      <c r="E3" s="550"/>
      <c r="F3" s="550"/>
    </row>
    <row r="4" spans="1:6" ht="15" customHeight="1">
      <c r="A4" s="242"/>
      <c r="B4" s="550"/>
      <c r="C4" s="550"/>
      <c r="D4" s="550"/>
      <c r="E4" s="550"/>
      <c r="F4" s="550"/>
    </row>
    <row r="5" spans="1:6" ht="30" customHeight="1">
      <c r="A5" s="242"/>
      <c r="B5" s="246"/>
      <c r="C5" s="244"/>
      <c r="D5" s="243"/>
      <c r="E5" s="245"/>
      <c r="F5" s="244"/>
    </row>
    <row r="6" spans="1:6" ht="14" customHeight="1">
      <c r="A6" s="242"/>
      <c r="B6" s="246"/>
      <c r="C6" s="244"/>
      <c r="D6" s="243"/>
      <c r="E6" s="245"/>
      <c r="F6" s="244"/>
    </row>
    <row r="7" spans="1:6" ht="14" customHeight="1">
      <c r="A7" s="242"/>
      <c r="B7" s="246"/>
      <c r="C7" s="247"/>
      <c r="D7" s="247"/>
      <c r="E7" s="246"/>
      <c r="F7" s="242"/>
    </row>
    <row r="8" spans="1:6" ht="15" customHeight="1">
      <c r="A8" s="242"/>
      <c r="B8" s="244"/>
      <c r="C8" s="244"/>
      <c r="D8" s="243"/>
      <c r="E8" s="245"/>
      <c r="F8" s="244"/>
    </row>
    <row r="9" spans="1:6" ht="30" customHeight="1">
      <c r="A9" s="242"/>
      <c r="B9" s="248"/>
      <c r="C9" s="242"/>
      <c r="D9" s="243"/>
      <c r="E9" s="242"/>
      <c r="F9" s="244"/>
    </row>
    <row r="10" spans="1:6" ht="30" customHeight="1">
      <c r="A10" s="242"/>
      <c r="B10" s="248"/>
      <c r="C10" s="242"/>
      <c r="D10" s="243"/>
      <c r="E10" s="242"/>
      <c r="F10" s="244"/>
    </row>
    <row r="11" spans="1:6" ht="30" customHeight="1">
      <c r="A11" s="242"/>
      <c r="B11" s="248"/>
      <c r="C11" s="242"/>
      <c r="D11" s="243"/>
      <c r="E11" s="242"/>
      <c r="F11" s="244"/>
    </row>
    <row r="12" spans="1:6" ht="30" customHeight="1">
      <c r="A12" s="242"/>
      <c r="B12" s="248"/>
      <c r="C12" s="242"/>
      <c r="D12" s="243"/>
      <c r="E12" s="242"/>
      <c r="F12" s="244"/>
    </row>
    <row r="13" spans="1:6" ht="30" customHeight="1">
      <c r="A13" s="242"/>
      <c r="B13" s="248"/>
      <c r="C13" s="242"/>
      <c r="D13" s="243"/>
      <c r="E13" s="242"/>
      <c r="F13" s="244"/>
    </row>
    <row r="14" spans="1:6" ht="14" customHeight="1">
      <c r="A14" s="242"/>
      <c r="B14" s="242"/>
      <c r="C14" s="242"/>
      <c r="D14" s="243"/>
      <c r="E14" s="242"/>
      <c r="F14" s="244"/>
    </row>
    <row r="15" spans="1:6" ht="15" customHeight="1">
      <c r="A15" s="242"/>
      <c r="B15" s="551"/>
      <c r="C15" s="551"/>
      <c r="D15" s="551"/>
      <c r="E15" s="551"/>
      <c r="F15" s="551"/>
    </row>
    <row r="16" spans="1:6" ht="93.75" customHeight="1">
      <c r="A16" s="242"/>
      <c r="B16" s="552"/>
      <c r="C16" s="552"/>
      <c r="D16" s="552"/>
      <c r="E16" s="552"/>
      <c r="F16" s="552"/>
    </row>
    <row r="17" spans="1:7" ht="30" customHeight="1">
      <c r="A17" s="242"/>
      <c r="B17" s="553" t="str">
        <f>'12.lan'!D221</f>
        <v>BILANZ-ÜBERSICHT</v>
      </c>
      <c r="C17" s="553"/>
      <c r="D17" s="553"/>
      <c r="E17" s="553"/>
      <c r="F17" s="553"/>
    </row>
    <row r="18" spans="1:7" ht="26.25" customHeight="1">
      <c r="A18" s="242"/>
      <c r="B18" s="249" t="str">
        <f>'12.lan'!D216</f>
        <v>Menschenwürde</v>
      </c>
      <c r="C18" s="466">
        <f>'4. ECG-Matrix'!C9+'4. ECG-Matrix'!C11+'4. ECG-Matrix'!C13+'4. ECG-Matrix'!C15+'4. ECG-Matrix'!C17</f>
        <v>0</v>
      </c>
      <c r="D18" s="250" t="str">
        <f>'12.lan'!$D$214</f>
        <v xml:space="preserve"> von </v>
      </c>
      <c r="E18" s="251">
        <f>'4. ECG-Matrix'!E9+'4. ECG-Matrix'!E11+'4. ECG-Matrix'!E13+'4. ECG-Matrix'!E15+'4. ECG-Matrix'!E17</f>
        <v>250</v>
      </c>
      <c r="F18" s="252">
        <f>C18/E18</f>
        <v>0</v>
      </c>
      <c r="G18" s="58">
        <f>IF(F18&lt;0,0,F18)</f>
        <v>0</v>
      </c>
    </row>
    <row r="19" spans="1:7" ht="26.25" customHeight="1">
      <c r="A19" s="242"/>
      <c r="B19" s="249" t="str">
        <f>'12.lan'!D217</f>
        <v>Solidarität &amp; Gerechtigkeit</v>
      </c>
      <c r="C19" s="466">
        <f>'4. ECG-Matrix'!G9+'4. ECG-Matrix'!G11+'4. ECG-Matrix'!G13+'4. ECG-Matrix'!G15+'4. ECG-Matrix'!G17</f>
        <v>0</v>
      </c>
      <c r="D19" s="250" t="str">
        <f>'12.lan'!$D$214</f>
        <v xml:space="preserve"> von </v>
      </c>
      <c r="E19" s="251">
        <f>'4. ECG-Matrix'!I9+'4. ECG-Matrix'!I11+'4. ECG-Matrix'!I13+'4. ECG-Matrix'!I15+'4. ECG-Matrix'!I17</f>
        <v>250</v>
      </c>
      <c r="F19" s="252">
        <f>C19/E19</f>
        <v>0</v>
      </c>
      <c r="G19" s="58">
        <f>IF(F19&lt;0,0,F19)</f>
        <v>0</v>
      </c>
    </row>
    <row r="20" spans="1:7" ht="26.25" customHeight="1">
      <c r="A20" s="242"/>
      <c r="B20" s="249" t="str">
        <f>'12.lan'!D218</f>
        <v>Ökologische Nachhaltigkeit</v>
      </c>
      <c r="C20" s="466">
        <f>'4. ECG-Matrix'!K9+'4. ECG-Matrix'!K11+'4. ECG-Matrix'!K13+'4. ECG-Matrix'!K15+'4. ECG-Matrix'!K17</f>
        <v>0</v>
      </c>
      <c r="D20" s="250" t="str">
        <f>'12.lan'!$D$214</f>
        <v xml:space="preserve"> von </v>
      </c>
      <c r="E20" s="251">
        <f>'4. ECG-Matrix'!M9+'4. ECG-Matrix'!M11+'4. ECG-Matrix'!M13+'4. ECG-Matrix'!M15+'4. ECG-Matrix'!M17</f>
        <v>250</v>
      </c>
      <c r="F20" s="252">
        <f>C20/E20</f>
        <v>0</v>
      </c>
      <c r="G20" s="58">
        <f>IF(F20&lt;0,0,F20)</f>
        <v>0</v>
      </c>
    </row>
    <row r="21" spans="1:7" ht="26.25" customHeight="1">
      <c r="A21" s="242"/>
      <c r="B21" s="249" t="str">
        <f>'12.lan'!D219</f>
        <v>Transparenz &amp; Mitentscheidung</v>
      </c>
      <c r="C21" s="466">
        <f>'4. ECG-Matrix'!O9+'4. ECG-Matrix'!O11+'4. ECG-Matrix'!O13+'4. ECG-Matrix'!O15+'4. ECG-Matrix'!O17</f>
        <v>0</v>
      </c>
      <c r="D21" s="250" t="str">
        <f>'12.lan'!$D$214</f>
        <v xml:space="preserve"> von </v>
      </c>
      <c r="E21" s="251">
        <f>'4. ECG-Matrix'!Q9+'4. ECG-Matrix'!Q11+'4. ECG-Matrix'!Q13+'4. ECG-Matrix'!Q15+'4. ECG-Matrix'!Q17</f>
        <v>250</v>
      </c>
      <c r="F21" s="252">
        <f>C21/E21</f>
        <v>0</v>
      </c>
      <c r="G21" s="58">
        <f>IF(F21&lt;0,0,F21)</f>
        <v>0</v>
      </c>
    </row>
    <row r="22" spans="1:7" ht="30" customHeight="1">
      <c r="A22" s="242"/>
      <c r="B22" s="253" t="str">
        <f>'12.lan'!D228</f>
        <v>SUMME</v>
      </c>
      <c r="C22" s="254">
        <f>'3. Calc'!I4</f>
        <v>0</v>
      </c>
      <c r="D22" s="255" t="str">
        <f>'12.lan'!$D$214</f>
        <v xml:space="preserve"> von </v>
      </c>
      <c r="E22" s="256">
        <f>'3. Calc'!J4</f>
        <v>1000</v>
      </c>
      <c r="F22" s="257">
        <f>C22/E22</f>
        <v>0</v>
      </c>
    </row>
    <row r="23" spans="1:7" ht="14" customHeight="1">
      <c r="A23" s="242"/>
      <c r="B23" s="242"/>
      <c r="C23" s="242"/>
      <c r="D23" s="243"/>
      <c r="E23" s="242"/>
      <c r="F23" s="244"/>
    </row>
  </sheetData>
  <sheetProtection algorithmName="SHA-512" hashValue="5C1AimFw5RQoqmRhi/umsgv47iSw/yZ1Bdxn0cQh41FflkaqPmjAbDRoFFx8FfsTEno+/vbk2vYguBuZ7wwlzg==" saltValue="6cg40WEhTQih50LN7EoXzA==" spinCount="100000" sheet="1" objects="1" scenarios="1"/>
  <mergeCells count="5">
    <mergeCell ref="B2:F2"/>
    <mergeCell ref="B3:F4"/>
    <mergeCell ref="B15:F15"/>
    <mergeCell ref="B16:F16"/>
    <mergeCell ref="B17:F17"/>
  </mergeCells>
  <conditionalFormatting sqref="F18:F21">
    <cfRule type="cellIs" dxfId="5" priority="2" operator="lessThan">
      <formula>0</formula>
    </cfRule>
  </conditionalFormatting>
  <conditionalFormatting sqref="F22">
    <cfRule type="cellIs" dxfId="4"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G24"/>
  <sheetViews>
    <sheetView showGridLines="0" zoomScale="75" zoomScaleNormal="75" workbookViewId="0"/>
  </sheetViews>
  <sheetFormatPr baseColWidth="10" defaultColWidth="10.6640625" defaultRowHeight="14" customHeight="1"/>
  <cols>
    <col min="1" max="1" width="2.6640625" style="239" customWidth="1"/>
    <col min="2" max="2" width="54.33203125" style="239" customWidth="1"/>
    <col min="3" max="3" width="7.33203125" style="239" customWidth="1"/>
    <col min="4" max="4" width="5.33203125" style="240" customWidth="1"/>
    <col min="5" max="5" width="6.6640625" style="239" customWidth="1"/>
    <col min="6" max="6" width="15" style="241" customWidth="1"/>
    <col min="7" max="7" width="10.6640625" style="239" customWidth="1"/>
    <col min="8" max="16384" width="10.6640625" style="239"/>
  </cols>
  <sheetData>
    <row r="1" spans="1:6" ht="14" customHeight="1">
      <c r="A1" s="242"/>
      <c r="B1" s="243"/>
      <c r="C1" s="244"/>
      <c r="D1" s="243"/>
      <c r="E1" s="245"/>
      <c r="F1" s="244"/>
    </row>
    <row r="2" spans="1:6" ht="14" customHeight="1">
      <c r="A2" s="242"/>
      <c r="B2" s="549" t="str">
        <f>'12.lan'!D91&amp;" - "&amp;'0. Intro'!B3&amp;" "&amp;'0. Intro'!C3</f>
        <v>Gemeinwohl-Bilanz-Rechner - Version 5.08</v>
      </c>
      <c r="C2" s="549"/>
      <c r="D2" s="549"/>
      <c r="E2" s="549"/>
      <c r="F2" s="549"/>
    </row>
    <row r="3" spans="1:6" ht="7.5" customHeight="1">
      <c r="A3" s="242"/>
      <c r="B3" s="550" t="str">
        <f>'12.lan'!D242&amp;'1. General'!C6</f>
        <v xml:space="preserve">Gruppen-Stern für </v>
      </c>
      <c r="C3" s="550"/>
      <c r="D3" s="550"/>
      <c r="E3" s="550"/>
      <c r="F3" s="550"/>
    </row>
    <row r="4" spans="1:6" ht="15" customHeight="1">
      <c r="A4" s="242"/>
      <c r="B4" s="550"/>
      <c r="C4" s="550"/>
      <c r="D4" s="550"/>
      <c r="E4" s="550"/>
      <c r="F4" s="550"/>
    </row>
    <row r="5" spans="1:6" ht="30" customHeight="1">
      <c r="A5" s="242"/>
      <c r="B5" s="246"/>
      <c r="C5" s="244"/>
      <c r="D5" s="243"/>
      <c r="E5" s="245"/>
      <c r="F5" s="244"/>
    </row>
    <row r="6" spans="1:6" ht="14" customHeight="1">
      <c r="A6" s="242"/>
      <c r="B6" s="246"/>
      <c r="C6" s="244"/>
      <c r="D6" s="243"/>
      <c r="E6" s="245"/>
      <c r="F6" s="244"/>
    </row>
    <row r="7" spans="1:6" ht="14" customHeight="1">
      <c r="A7" s="242"/>
      <c r="B7" s="246"/>
      <c r="C7" s="247"/>
      <c r="D7" s="247"/>
      <c r="E7" s="246"/>
      <c r="F7" s="242"/>
    </row>
    <row r="8" spans="1:6" ht="15" customHeight="1">
      <c r="A8" s="242"/>
      <c r="B8" s="244"/>
      <c r="C8" s="244"/>
      <c r="D8" s="243"/>
      <c r="E8" s="245"/>
      <c r="F8" s="244"/>
    </row>
    <row r="9" spans="1:6" ht="30" customHeight="1">
      <c r="A9" s="242"/>
      <c r="B9" s="248"/>
      <c r="C9" s="242"/>
      <c r="D9" s="243"/>
      <c r="E9" s="242"/>
      <c r="F9" s="244"/>
    </row>
    <row r="10" spans="1:6" ht="30" customHeight="1">
      <c r="A10" s="242"/>
      <c r="B10" s="248"/>
      <c r="C10" s="242"/>
      <c r="D10" s="243"/>
      <c r="E10" s="242"/>
      <c r="F10" s="244"/>
    </row>
    <row r="11" spans="1:6" ht="30" customHeight="1">
      <c r="A11" s="242"/>
      <c r="B11" s="248"/>
      <c r="C11" s="242"/>
      <c r="D11" s="243"/>
      <c r="E11" s="242"/>
      <c r="F11" s="244"/>
    </row>
    <row r="12" spans="1:6" ht="30" customHeight="1">
      <c r="A12" s="242"/>
      <c r="B12" s="248"/>
      <c r="C12" s="242"/>
      <c r="D12" s="243"/>
      <c r="E12" s="242"/>
      <c r="F12" s="244"/>
    </row>
    <row r="13" spans="1:6" ht="30" customHeight="1">
      <c r="A13" s="242"/>
      <c r="B13" s="248"/>
      <c r="C13" s="242"/>
      <c r="D13" s="243"/>
      <c r="E13" s="242"/>
      <c r="F13" s="244"/>
    </row>
    <row r="14" spans="1:6" ht="14" customHeight="1">
      <c r="A14" s="242"/>
      <c r="B14" s="242"/>
      <c r="C14" s="242"/>
      <c r="D14" s="243"/>
      <c r="E14" s="242"/>
      <c r="F14" s="244"/>
    </row>
    <row r="15" spans="1:6" ht="15" customHeight="1">
      <c r="A15" s="242"/>
      <c r="B15" s="551"/>
      <c r="C15" s="551"/>
      <c r="D15" s="551"/>
      <c r="E15" s="551"/>
      <c r="F15" s="551"/>
    </row>
    <row r="16" spans="1:6" ht="93.75" customHeight="1">
      <c r="A16" s="242"/>
      <c r="B16" s="552"/>
      <c r="C16" s="552"/>
      <c r="D16" s="552"/>
      <c r="E16" s="552"/>
      <c r="F16" s="552"/>
    </row>
    <row r="17" spans="1:7" ht="30" customHeight="1">
      <c r="A17" s="242"/>
      <c r="B17" s="553" t="str">
        <f>'12.lan'!D221</f>
        <v>BILANZ-ÜBERSICHT</v>
      </c>
      <c r="C17" s="553"/>
      <c r="D17" s="553"/>
      <c r="E17" s="553"/>
      <c r="F17" s="553"/>
    </row>
    <row r="18" spans="1:7" ht="26.25" customHeight="1">
      <c r="A18" s="242"/>
      <c r="B18" s="249" t="str">
        <f>'12.lan'!D108</f>
        <v>Lieferant*innen</v>
      </c>
      <c r="C18" s="466">
        <f>'3. Calc'!I9</f>
        <v>0</v>
      </c>
      <c r="D18" s="250" t="str">
        <f>'12.lan'!$D$214</f>
        <v xml:space="preserve"> von </v>
      </c>
      <c r="E18" s="251">
        <f>'3. Calc'!J9</f>
        <v>200</v>
      </c>
      <c r="F18" s="252">
        <f t="shared" ref="F18:F23" si="0">C18/E18</f>
        <v>0</v>
      </c>
      <c r="G18" s="58">
        <f>IF(F18&lt;0,0,F18)</f>
        <v>0</v>
      </c>
    </row>
    <row r="19" spans="1:7" ht="26.25" customHeight="1">
      <c r="A19" s="242"/>
      <c r="B19" s="249" t="str">
        <f>'12.lan'!D122</f>
        <v>Eigentümer*innen und Finanzpartner*innen</v>
      </c>
      <c r="C19" s="466">
        <f>'3. Calc'!I23</f>
        <v>0</v>
      </c>
      <c r="D19" s="250" t="str">
        <f>'12.lan'!$D$214</f>
        <v xml:space="preserve"> von </v>
      </c>
      <c r="E19" s="251">
        <f>'3. Calc'!J23</f>
        <v>200</v>
      </c>
      <c r="F19" s="252">
        <f t="shared" si="0"/>
        <v>0</v>
      </c>
      <c r="G19" s="58">
        <f>IF(F19&lt;0,0,F19)</f>
        <v>0</v>
      </c>
    </row>
    <row r="20" spans="1:7" ht="26.25" customHeight="1">
      <c r="A20" s="242"/>
      <c r="B20" s="249" t="str">
        <f>'12.lan'!D137</f>
        <v>Mitarbeitende</v>
      </c>
      <c r="C20" s="466">
        <f>'3. Calc'!I38</f>
        <v>0</v>
      </c>
      <c r="D20" s="250" t="str">
        <f>'12.lan'!$D$214</f>
        <v xml:space="preserve"> von </v>
      </c>
      <c r="E20" s="251">
        <f>'3. Calc'!J38</f>
        <v>200</v>
      </c>
      <c r="F20" s="252">
        <f t="shared" si="0"/>
        <v>0</v>
      </c>
      <c r="G20" s="58">
        <f>IF(F20&lt;0,0,F20)</f>
        <v>0</v>
      </c>
    </row>
    <row r="21" spans="1:7" ht="26.25" customHeight="1">
      <c r="A21" s="242"/>
      <c r="B21" s="249" t="str">
        <f>'12.lan'!D158</f>
        <v>Kund*nnen und Mitunternehmen</v>
      </c>
      <c r="C21" s="466">
        <f>'3. Calc'!I59</f>
        <v>0</v>
      </c>
      <c r="D21" s="250" t="str">
        <f>'12.lan'!$D$214</f>
        <v xml:space="preserve"> von </v>
      </c>
      <c r="E21" s="251">
        <f>'3. Calc'!J59</f>
        <v>200</v>
      </c>
      <c r="F21" s="252">
        <f t="shared" si="0"/>
        <v>0</v>
      </c>
      <c r="G21" s="58">
        <f>IF(F21&lt;0,0,F21)</f>
        <v>0</v>
      </c>
    </row>
    <row r="22" spans="1:7" ht="26.25" customHeight="1">
      <c r="A22" s="242"/>
      <c r="B22" s="249" t="str">
        <f>'12.lan'!D175</f>
        <v>Gesellschaftliches Umfeld</v>
      </c>
      <c r="C22" s="466">
        <f>'3. Calc'!I76</f>
        <v>0</v>
      </c>
      <c r="D22" s="250" t="str">
        <f>'12.lan'!$D$214</f>
        <v xml:space="preserve"> von </v>
      </c>
      <c r="E22" s="251">
        <f>'3. Calc'!J76</f>
        <v>200</v>
      </c>
      <c r="F22" s="252">
        <f t="shared" si="0"/>
        <v>0</v>
      </c>
      <c r="G22" s="58">
        <f>IF(F22&lt;0,0,F22)</f>
        <v>0</v>
      </c>
    </row>
    <row r="23" spans="1:7" ht="30" customHeight="1">
      <c r="A23" s="242"/>
      <c r="B23" s="253" t="str">
        <f>'12.lan'!D228</f>
        <v>SUMME</v>
      </c>
      <c r="C23" s="254">
        <f>'3. Calc'!I4</f>
        <v>0</v>
      </c>
      <c r="D23" s="255" t="str">
        <f>'12.lan'!$D$214</f>
        <v xml:space="preserve"> von </v>
      </c>
      <c r="E23" s="256">
        <f>'3. Calc'!J4</f>
        <v>1000</v>
      </c>
      <c r="F23" s="257">
        <f t="shared" si="0"/>
        <v>0</v>
      </c>
    </row>
    <row r="24" spans="1:7" ht="14" customHeight="1">
      <c r="A24" s="242"/>
      <c r="B24" s="242"/>
      <c r="C24" s="242"/>
      <c r="D24" s="243"/>
      <c r="E24" s="242"/>
      <c r="F24" s="244"/>
    </row>
  </sheetData>
  <sheetProtection algorithmName="SHA-512" hashValue="nE/ltuXNMBuJd01huOOEmEX2ffsH9wkcDK5IQLZ8oaj1HMeqUGRip66RDndKCbB9lNkHVB1w/M6T4njeB/YUeQ==" saltValue="ap94z1kf0IqMUUX5zjfoJA==" spinCount="100000" sheet="1" objects="1" scenarios="1"/>
  <mergeCells count="5">
    <mergeCell ref="B2:F2"/>
    <mergeCell ref="B3:F4"/>
    <mergeCell ref="B15:F15"/>
    <mergeCell ref="B16:F16"/>
    <mergeCell ref="B17:F17"/>
  </mergeCells>
  <conditionalFormatting sqref="F18:F22">
    <cfRule type="cellIs" dxfId="3" priority="2" operator="lessThan">
      <formula>0</formula>
    </cfRule>
  </conditionalFormatting>
  <conditionalFormatting sqref="F23">
    <cfRule type="cellIs" dxfId="2"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AM39"/>
  <sheetViews>
    <sheetView showGridLines="0" zoomScale="75" zoomScaleNormal="75" workbookViewId="0"/>
  </sheetViews>
  <sheetFormatPr baseColWidth="10" defaultColWidth="10.6640625" defaultRowHeight="14" customHeight="1"/>
  <cols>
    <col min="1" max="1" width="2.6640625" style="239" customWidth="1"/>
    <col min="2" max="2" width="49.83203125" style="239" customWidth="1"/>
    <col min="3" max="3" width="7.33203125" style="239" customWidth="1"/>
    <col min="4" max="4" width="5.33203125" style="240" customWidth="1"/>
    <col min="5" max="5" width="6.6640625" style="239" customWidth="1"/>
    <col min="6" max="6" width="15" style="241" customWidth="1"/>
    <col min="7" max="7" width="10.6640625" style="239" customWidth="1"/>
    <col min="8" max="8" width="43.33203125" style="239" customWidth="1"/>
    <col min="9" max="33" width="10.6640625" style="239"/>
    <col min="34" max="34" width="10.6640625" style="240"/>
    <col min="35" max="16384" width="10.6640625" style="239"/>
  </cols>
  <sheetData>
    <row r="1" spans="1:6" ht="14" customHeight="1">
      <c r="A1" s="242"/>
      <c r="B1" s="243"/>
      <c r="C1" s="244"/>
      <c r="D1" s="243"/>
      <c r="E1" s="245"/>
      <c r="F1" s="244"/>
    </row>
    <row r="2" spans="1:6" ht="14" customHeight="1">
      <c r="A2" s="242"/>
      <c r="B2" s="549" t="str">
        <f>'12.lan'!D91&amp;" - "&amp;'0. Intro'!B3&amp;" "&amp;'0. Intro'!C3</f>
        <v>Gemeinwohl-Bilanz-Rechner - Version 5.08</v>
      </c>
      <c r="C2" s="549"/>
      <c r="D2" s="549"/>
      <c r="E2" s="549"/>
      <c r="F2" s="549"/>
    </row>
    <row r="3" spans="1:6" ht="7.5" customHeight="1">
      <c r="A3" s="242"/>
      <c r="B3" s="550" t="str">
        <f>'12.lan'!D243&amp;'1. General'!C6</f>
        <v xml:space="preserve">Themen-Stern für </v>
      </c>
      <c r="C3" s="550"/>
      <c r="D3" s="550"/>
      <c r="E3" s="550"/>
      <c r="F3" s="550"/>
    </row>
    <row r="4" spans="1:6" ht="15" customHeight="1">
      <c r="A4" s="242"/>
      <c r="B4" s="550"/>
      <c r="C4" s="550"/>
      <c r="D4" s="550"/>
      <c r="E4" s="550"/>
      <c r="F4" s="550"/>
    </row>
    <row r="5" spans="1:6" ht="30" customHeight="1">
      <c r="A5" s="242"/>
      <c r="B5" s="246"/>
      <c r="C5" s="244"/>
      <c r="D5" s="243"/>
      <c r="E5" s="245"/>
      <c r="F5" s="244"/>
    </row>
    <row r="6" spans="1:6" ht="14" customHeight="1">
      <c r="A6" s="242"/>
      <c r="B6" s="246"/>
      <c r="C6" s="244"/>
      <c r="D6" s="243"/>
      <c r="E6" s="245"/>
      <c r="F6" s="244"/>
    </row>
    <row r="7" spans="1:6" ht="14" customHeight="1">
      <c r="A7" s="242"/>
      <c r="B7" s="246"/>
      <c r="C7" s="247"/>
      <c r="D7" s="247"/>
      <c r="E7" s="246"/>
      <c r="F7" s="242"/>
    </row>
    <row r="8" spans="1:6" ht="15" customHeight="1">
      <c r="A8" s="242"/>
      <c r="B8" s="244"/>
      <c r="C8" s="244"/>
      <c r="D8" s="243"/>
      <c r="E8" s="245"/>
      <c r="F8" s="244"/>
    </row>
    <row r="9" spans="1:6" ht="30" customHeight="1">
      <c r="A9" s="242"/>
      <c r="B9" s="248"/>
      <c r="C9" s="242"/>
      <c r="D9" s="243"/>
      <c r="E9" s="242"/>
      <c r="F9" s="244"/>
    </row>
    <row r="10" spans="1:6" ht="30" customHeight="1">
      <c r="A10" s="242"/>
      <c r="B10" s="248"/>
      <c r="C10" s="242"/>
      <c r="D10" s="243"/>
      <c r="E10" s="242"/>
      <c r="F10" s="244"/>
    </row>
    <row r="11" spans="1:6" ht="30" customHeight="1">
      <c r="A11" s="242"/>
      <c r="B11" s="248"/>
      <c r="C11" s="242"/>
      <c r="D11" s="243"/>
      <c r="E11" s="242"/>
      <c r="F11" s="244"/>
    </row>
    <row r="12" spans="1:6" ht="30" customHeight="1">
      <c r="A12" s="242"/>
      <c r="B12" s="248"/>
      <c r="C12" s="242"/>
      <c r="D12" s="243"/>
      <c r="E12" s="242"/>
      <c r="F12" s="244"/>
    </row>
    <row r="13" spans="1:6" ht="30" customHeight="1">
      <c r="A13" s="242"/>
      <c r="B13" s="248"/>
      <c r="C13" s="242"/>
      <c r="D13" s="243"/>
      <c r="E13" s="242"/>
      <c r="F13" s="244"/>
    </row>
    <row r="14" spans="1:6" ht="14" customHeight="1">
      <c r="A14" s="242"/>
      <c r="B14" s="242"/>
      <c r="C14" s="242"/>
      <c r="D14" s="243"/>
      <c r="E14" s="242"/>
      <c r="F14" s="244"/>
    </row>
    <row r="15" spans="1:6" ht="15" customHeight="1">
      <c r="A15" s="242"/>
      <c r="B15" s="551"/>
      <c r="C15" s="551"/>
      <c r="D15" s="551"/>
      <c r="E15" s="551"/>
      <c r="F15" s="551"/>
    </row>
    <row r="16" spans="1:6" ht="93.75" customHeight="1">
      <c r="A16" s="242"/>
      <c r="B16" s="552"/>
      <c r="C16" s="552"/>
      <c r="D16" s="552"/>
      <c r="E16" s="552"/>
      <c r="F16" s="552"/>
    </row>
    <row r="17" spans="1:39" ht="30" customHeight="1">
      <c r="A17" s="242"/>
      <c r="B17" s="553" t="str">
        <f>'12.lan'!D221</f>
        <v>BILANZ-ÜBERSICHT</v>
      </c>
      <c r="C17" s="553"/>
      <c r="D17" s="553"/>
      <c r="E17" s="553"/>
      <c r="F17" s="553"/>
    </row>
    <row r="18" spans="1:39" ht="26.25" customHeight="1">
      <c r="A18" s="242"/>
      <c r="B18" s="249" t="s">
        <v>13</v>
      </c>
      <c r="C18" s="466">
        <f>'4. ECG-Matrix'!C9</f>
        <v>0</v>
      </c>
      <c r="D18" s="250" t="str">
        <f>'12.lan'!$D$214</f>
        <v xml:space="preserve"> von </v>
      </c>
      <c r="E18" s="251">
        <f>'4. ECG-Matrix'!E9</f>
        <v>50</v>
      </c>
      <c r="F18" s="447">
        <f t="shared" ref="F18:F38" si="0">C18/E18</f>
        <v>0</v>
      </c>
      <c r="G18" s="58">
        <f t="shared" ref="G18:G37" si="1">IF(F18&lt;0,0,F18)</f>
        <v>0</v>
      </c>
      <c r="AI18" s="457"/>
      <c r="AM18" s="457"/>
    </row>
    <row r="19" spans="1:39" ht="26.25" customHeight="1">
      <c r="A19" s="242"/>
      <c r="B19" s="249" t="s">
        <v>16</v>
      </c>
      <c r="C19" s="466">
        <f>'4. ECG-Matrix'!G9</f>
        <v>0</v>
      </c>
      <c r="D19" s="250" t="str">
        <f>'12.lan'!$D$214</f>
        <v xml:space="preserve"> von </v>
      </c>
      <c r="E19" s="251">
        <f>'4. ECG-Matrix'!I9</f>
        <v>50</v>
      </c>
      <c r="F19" s="447">
        <f t="shared" si="0"/>
        <v>0</v>
      </c>
      <c r="G19" s="58">
        <f t="shared" si="1"/>
        <v>0</v>
      </c>
      <c r="AI19" s="457"/>
      <c r="AM19" s="457"/>
    </row>
    <row r="20" spans="1:39" ht="26.25" customHeight="1">
      <c r="A20" s="242"/>
      <c r="B20" s="249" t="s">
        <v>20</v>
      </c>
      <c r="C20" s="466">
        <f>'4. ECG-Matrix'!K9</f>
        <v>0</v>
      </c>
      <c r="D20" s="250" t="str">
        <f>'12.lan'!$D$214</f>
        <v xml:space="preserve"> von </v>
      </c>
      <c r="E20" s="251">
        <f>'4. ECG-Matrix'!M9</f>
        <v>50</v>
      </c>
      <c r="F20" s="447">
        <f t="shared" si="0"/>
        <v>0</v>
      </c>
      <c r="G20" s="58">
        <f t="shared" si="1"/>
        <v>0</v>
      </c>
      <c r="AI20" s="457"/>
      <c r="AM20" s="457"/>
    </row>
    <row r="21" spans="1:39" ht="26.25" customHeight="1">
      <c r="A21" s="242"/>
      <c r="B21" s="249" t="s">
        <v>23</v>
      </c>
      <c r="C21" s="466">
        <f>'4. ECG-Matrix'!O9</f>
        <v>0</v>
      </c>
      <c r="D21" s="250" t="str">
        <f>'12.lan'!$D$214</f>
        <v xml:space="preserve"> von </v>
      </c>
      <c r="E21" s="251">
        <f>'4. ECG-Matrix'!Q9</f>
        <v>50</v>
      </c>
      <c r="F21" s="447">
        <f t="shared" si="0"/>
        <v>0</v>
      </c>
      <c r="G21" s="58">
        <f t="shared" si="1"/>
        <v>0</v>
      </c>
      <c r="AI21" s="457"/>
      <c r="AM21" s="457"/>
    </row>
    <row r="22" spans="1:39" ht="26.25" customHeight="1">
      <c r="A22" s="242"/>
      <c r="B22" s="249" t="s">
        <v>27</v>
      </c>
      <c r="C22" s="466">
        <f>'4. ECG-Matrix'!C11</f>
        <v>0</v>
      </c>
      <c r="D22" s="250" t="str">
        <f>'12.lan'!$D$214</f>
        <v xml:space="preserve"> von </v>
      </c>
      <c r="E22" s="251">
        <f>'4. ECG-Matrix'!E11</f>
        <v>50</v>
      </c>
      <c r="F22" s="447">
        <f t="shared" si="0"/>
        <v>0</v>
      </c>
      <c r="G22" s="58">
        <f t="shared" si="1"/>
        <v>0</v>
      </c>
      <c r="AI22" s="457"/>
      <c r="AM22" s="457"/>
    </row>
    <row r="23" spans="1:39" ht="26.25" customHeight="1">
      <c r="A23" s="242"/>
      <c r="B23" s="249" t="s">
        <v>31</v>
      </c>
      <c r="C23" s="466">
        <f>'4. ECG-Matrix'!G11</f>
        <v>0</v>
      </c>
      <c r="D23" s="250" t="str">
        <f>'12.lan'!$D$214</f>
        <v xml:space="preserve"> von </v>
      </c>
      <c r="E23" s="251">
        <f>'4. ECG-Matrix'!I11</f>
        <v>50</v>
      </c>
      <c r="F23" s="447">
        <f t="shared" si="0"/>
        <v>0</v>
      </c>
      <c r="G23" s="58">
        <f t="shared" si="1"/>
        <v>0</v>
      </c>
      <c r="AI23" s="457"/>
      <c r="AM23" s="457"/>
    </row>
    <row r="24" spans="1:39" ht="26.25" customHeight="1">
      <c r="A24" s="242"/>
      <c r="B24" s="249" t="s">
        <v>34</v>
      </c>
      <c r="C24" s="466">
        <f>'4. ECG-Matrix'!K11</f>
        <v>0</v>
      </c>
      <c r="D24" s="250" t="str">
        <f>'12.lan'!$D$214</f>
        <v xml:space="preserve"> von </v>
      </c>
      <c r="E24" s="251">
        <f>'4. ECG-Matrix'!M11</f>
        <v>50</v>
      </c>
      <c r="F24" s="447">
        <f t="shared" si="0"/>
        <v>0</v>
      </c>
      <c r="G24" s="58">
        <f t="shared" si="1"/>
        <v>0</v>
      </c>
      <c r="AI24" s="457"/>
      <c r="AM24" s="457"/>
    </row>
    <row r="25" spans="1:39" ht="26.25" customHeight="1">
      <c r="A25" s="242"/>
      <c r="B25" s="249" t="s">
        <v>38</v>
      </c>
      <c r="C25" s="466">
        <f>'4. ECG-Matrix'!O11</f>
        <v>0</v>
      </c>
      <c r="D25" s="250" t="str">
        <f>'12.lan'!$D$214</f>
        <v xml:space="preserve"> von </v>
      </c>
      <c r="E25" s="251">
        <f>'4. ECG-Matrix'!Q11</f>
        <v>50</v>
      </c>
      <c r="F25" s="447">
        <f t="shared" si="0"/>
        <v>0</v>
      </c>
      <c r="G25" s="58">
        <f t="shared" si="1"/>
        <v>0</v>
      </c>
      <c r="AI25" s="457"/>
      <c r="AM25" s="457"/>
    </row>
    <row r="26" spans="1:39" ht="26.25" customHeight="1">
      <c r="A26" s="242"/>
      <c r="B26" s="249" t="s">
        <v>42</v>
      </c>
      <c r="C26" s="466">
        <f>'4. ECG-Matrix'!C13</f>
        <v>0</v>
      </c>
      <c r="D26" s="250" t="str">
        <f>'12.lan'!$D$214</f>
        <v xml:space="preserve"> von </v>
      </c>
      <c r="E26" s="251">
        <f>'4. ECG-Matrix'!E13</f>
        <v>50</v>
      </c>
      <c r="F26" s="447">
        <f t="shared" si="0"/>
        <v>0</v>
      </c>
      <c r="G26" s="58">
        <f t="shared" si="1"/>
        <v>0</v>
      </c>
      <c r="AI26" s="457"/>
      <c r="AM26" s="457"/>
    </row>
    <row r="27" spans="1:39" ht="26.25" customHeight="1">
      <c r="A27" s="242"/>
      <c r="B27" s="249" t="s">
        <v>47</v>
      </c>
      <c r="C27" s="466">
        <f>'4. ECG-Matrix'!G13</f>
        <v>0</v>
      </c>
      <c r="D27" s="250" t="str">
        <f>'12.lan'!$D$214</f>
        <v xml:space="preserve"> von </v>
      </c>
      <c r="E27" s="251">
        <f>'4. ECG-Matrix'!I13</f>
        <v>50</v>
      </c>
      <c r="F27" s="447">
        <f t="shared" si="0"/>
        <v>0</v>
      </c>
      <c r="G27" s="58">
        <f t="shared" si="1"/>
        <v>0</v>
      </c>
      <c r="AI27" s="457"/>
      <c r="AM27" s="457"/>
    </row>
    <row r="28" spans="1:39" ht="26.25" customHeight="1">
      <c r="A28" s="242"/>
      <c r="B28" s="249" t="s">
        <v>52</v>
      </c>
      <c r="C28" s="466">
        <f>'4. ECG-Matrix'!K13</f>
        <v>0</v>
      </c>
      <c r="D28" s="250" t="str">
        <f>'12.lan'!$D$214</f>
        <v xml:space="preserve"> von </v>
      </c>
      <c r="E28" s="251">
        <f>'4. ECG-Matrix'!M13</f>
        <v>50</v>
      </c>
      <c r="F28" s="447">
        <f t="shared" si="0"/>
        <v>0</v>
      </c>
      <c r="G28" s="58">
        <f t="shared" si="1"/>
        <v>0</v>
      </c>
      <c r="AI28" s="457"/>
      <c r="AM28" s="457"/>
    </row>
    <row r="29" spans="1:39" ht="26.25" customHeight="1">
      <c r="A29" s="242"/>
      <c r="B29" s="249" t="s">
        <v>57</v>
      </c>
      <c r="C29" s="466">
        <f>'4. ECG-Matrix'!O13</f>
        <v>0</v>
      </c>
      <c r="D29" s="250" t="str">
        <f>'12.lan'!$D$214</f>
        <v xml:space="preserve"> von </v>
      </c>
      <c r="E29" s="251">
        <f>'4. ECG-Matrix'!Q13</f>
        <v>50</v>
      </c>
      <c r="F29" s="447">
        <f t="shared" si="0"/>
        <v>0</v>
      </c>
      <c r="G29" s="58">
        <f t="shared" si="1"/>
        <v>0</v>
      </c>
      <c r="AI29" s="457"/>
      <c r="AM29" s="457"/>
    </row>
    <row r="30" spans="1:39" ht="26.25" customHeight="1">
      <c r="A30" s="242"/>
      <c r="B30" s="249" t="s">
        <v>63</v>
      </c>
      <c r="C30" s="466">
        <f>'4. ECG-Matrix'!C15</f>
        <v>0</v>
      </c>
      <c r="D30" s="250" t="str">
        <f>'12.lan'!$D$214</f>
        <v xml:space="preserve"> von </v>
      </c>
      <c r="E30" s="251">
        <f>'4. ECG-Matrix'!E15</f>
        <v>50</v>
      </c>
      <c r="F30" s="447">
        <f t="shared" si="0"/>
        <v>0</v>
      </c>
      <c r="G30" s="58">
        <f t="shared" si="1"/>
        <v>0</v>
      </c>
      <c r="AI30" s="457"/>
      <c r="AM30" s="457"/>
    </row>
    <row r="31" spans="1:39" ht="26.25" customHeight="1">
      <c r="A31" s="242"/>
      <c r="B31" s="249" t="s">
        <v>67</v>
      </c>
      <c r="C31" s="466">
        <f>'4. ECG-Matrix'!G15</f>
        <v>0</v>
      </c>
      <c r="D31" s="250" t="str">
        <f>'12.lan'!$D$214</f>
        <v xml:space="preserve"> von </v>
      </c>
      <c r="E31" s="251">
        <f>'4. ECG-Matrix'!I15</f>
        <v>50</v>
      </c>
      <c r="F31" s="447">
        <f t="shared" si="0"/>
        <v>0</v>
      </c>
      <c r="G31" s="58">
        <f t="shared" si="1"/>
        <v>0</v>
      </c>
      <c r="AI31" s="457"/>
      <c r="AM31" s="457"/>
    </row>
    <row r="32" spans="1:39" ht="26.25" customHeight="1">
      <c r="A32" s="242"/>
      <c r="B32" s="249" t="s">
        <v>71</v>
      </c>
      <c r="C32" s="466">
        <f>'4. ECG-Matrix'!K15</f>
        <v>0</v>
      </c>
      <c r="D32" s="250" t="str">
        <f>'12.lan'!$D$214</f>
        <v xml:space="preserve"> von </v>
      </c>
      <c r="E32" s="251">
        <f>'4. ECG-Matrix'!M15</f>
        <v>50</v>
      </c>
      <c r="F32" s="447">
        <f t="shared" si="0"/>
        <v>0</v>
      </c>
      <c r="G32" s="58">
        <f t="shared" si="1"/>
        <v>0</v>
      </c>
      <c r="AI32" s="457"/>
      <c r="AM32" s="457"/>
    </row>
    <row r="33" spans="1:39" ht="26.25" customHeight="1">
      <c r="A33" s="242"/>
      <c r="B33" s="249" t="s">
        <v>75</v>
      </c>
      <c r="C33" s="466">
        <f>'4. ECG-Matrix'!O15</f>
        <v>0</v>
      </c>
      <c r="D33" s="250" t="str">
        <f>'12.lan'!$D$214</f>
        <v xml:space="preserve"> von </v>
      </c>
      <c r="E33" s="251">
        <f>'4. ECG-Matrix'!Q15</f>
        <v>50</v>
      </c>
      <c r="F33" s="447">
        <f t="shared" si="0"/>
        <v>0</v>
      </c>
      <c r="G33" s="58">
        <f t="shared" si="1"/>
        <v>0</v>
      </c>
      <c r="AI33" s="457"/>
      <c r="AM33" s="457"/>
    </row>
    <row r="34" spans="1:39" ht="26.25" customHeight="1">
      <c r="A34" s="242"/>
      <c r="B34" s="249" t="s">
        <v>79</v>
      </c>
      <c r="C34" s="466">
        <f>'4. ECG-Matrix'!C17</f>
        <v>0</v>
      </c>
      <c r="D34" s="250" t="str">
        <f>'12.lan'!$D$214</f>
        <v xml:space="preserve"> von </v>
      </c>
      <c r="E34" s="251">
        <f>'4. ECG-Matrix'!E17</f>
        <v>50</v>
      </c>
      <c r="F34" s="447">
        <f t="shared" si="0"/>
        <v>0</v>
      </c>
      <c r="G34" s="58">
        <f t="shared" si="1"/>
        <v>0</v>
      </c>
      <c r="AI34" s="457"/>
      <c r="AM34" s="457"/>
    </row>
    <row r="35" spans="1:39" ht="26.25" customHeight="1">
      <c r="A35" s="242"/>
      <c r="B35" s="249" t="s">
        <v>83</v>
      </c>
      <c r="C35" s="466">
        <f>'4. ECG-Matrix'!G17</f>
        <v>0</v>
      </c>
      <c r="D35" s="250" t="str">
        <f>'12.lan'!$D$214</f>
        <v xml:space="preserve"> von </v>
      </c>
      <c r="E35" s="251">
        <f>'4. ECG-Matrix'!I17</f>
        <v>50</v>
      </c>
      <c r="F35" s="447">
        <f t="shared" si="0"/>
        <v>0</v>
      </c>
      <c r="G35" s="58">
        <f t="shared" si="1"/>
        <v>0</v>
      </c>
      <c r="AI35" s="457"/>
      <c r="AM35" s="457"/>
    </row>
    <row r="36" spans="1:39" ht="26.25" customHeight="1">
      <c r="A36" s="242"/>
      <c r="B36" s="249" t="s">
        <v>88</v>
      </c>
      <c r="C36" s="466">
        <f>'4. ECG-Matrix'!K17</f>
        <v>0</v>
      </c>
      <c r="D36" s="250" t="str">
        <f>'12.lan'!$D$214</f>
        <v xml:space="preserve"> von </v>
      </c>
      <c r="E36" s="251">
        <f>'4. ECG-Matrix'!M17</f>
        <v>50</v>
      </c>
      <c r="F36" s="447">
        <f t="shared" si="0"/>
        <v>0</v>
      </c>
      <c r="G36" s="58">
        <f t="shared" si="1"/>
        <v>0</v>
      </c>
      <c r="AI36" s="457"/>
      <c r="AM36" s="457"/>
    </row>
    <row r="37" spans="1:39" ht="26.25" customHeight="1">
      <c r="A37" s="242"/>
      <c r="B37" s="249" t="s">
        <v>92</v>
      </c>
      <c r="C37" s="466">
        <f>'4. ECG-Matrix'!O17</f>
        <v>0</v>
      </c>
      <c r="D37" s="250" t="str">
        <f>'12.lan'!$D$214</f>
        <v xml:space="preserve"> von </v>
      </c>
      <c r="E37" s="251">
        <f>'4. ECG-Matrix'!Q17</f>
        <v>50</v>
      </c>
      <c r="F37" s="447">
        <f t="shared" si="0"/>
        <v>0</v>
      </c>
      <c r="G37" s="58">
        <f t="shared" si="1"/>
        <v>0</v>
      </c>
      <c r="AI37" s="457"/>
      <c r="AM37" s="457"/>
    </row>
    <row r="38" spans="1:39" ht="30" customHeight="1">
      <c r="A38" s="242"/>
      <c r="B38" s="253" t="str">
        <f>'12.lan'!D228</f>
        <v>SUMME</v>
      </c>
      <c r="C38" s="254">
        <f>'3. Calc'!I4</f>
        <v>0</v>
      </c>
      <c r="D38" s="258" t="str">
        <f>'12.lan'!$D$214</f>
        <v xml:space="preserve"> von </v>
      </c>
      <c r="E38" s="256">
        <f>'3. Calc'!J4</f>
        <v>1000</v>
      </c>
      <c r="F38" s="448">
        <f t="shared" si="0"/>
        <v>0</v>
      </c>
    </row>
    <row r="39" spans="1:39" ht="14" customHeight="1">
      <c r="A39" s="242"/>
      <c r="B39" s="242"/>
      <c r="C39" s="242"/>
      <c r="D39" s="243"/>
      <c r="E39" s="242"/>
      <c r="F39" s="244"/>
    </row>
  </sheetData>
  <sheetProtection algorithmName="SHA-512" hashValue="8R/6tHUukN6r4wkpWt5BFGNUK1bWVOdI7NzMwfRUIi4y9Xo74IX/tVZreEILhFv69fdsZn4qM/9aqp4zwfYxQQ==" saltValue="hCK4RrTL0QYLYIUDKwRhww==" spinCount="100000" sheet="1" objects="1" scenarios="1"/>
  <mergeCells count="5">
    <mergeCell ref="B2:F2"/>
    <mergeCell ref="B3:F4"/>
    <mergeCell ref="B15:F15"/>
    <mergeCell ref="B16:F16"/>
    <mergeCell ref="B17:F17"/>
  </mergeCells>
  <conditionalFormatting sqref="F18:F37">
    <cfRule type="cellIs" dxfId="1" priority="2" operator="lessThan">
      <formula>0</formula>
    </cfRule>
  </conditionalFormatting>
  <conditionalFormatting sqref="F38">
    <cfRule type="cellIs" dxfId="0"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14</vt:i4>
      </vt:variant>
      <vt:variant>
        <vt:lpstr>Benannte Bereiche</vt:lpstr>
      </vt:variant>
      <vt:variant>
        <vt:i4>5</vt:i4>
      </vt:variant>
    </vt:vector>
  </HeadingPairs>
  <TitlesOfParts>
    <vt:vector size="19" baseType="lpstr">
      <vt:lpstr>0. Intro</vt:lpstr>
      <vt:lpstr>1. General</vt:lpstr>
      <vt:lpstr>2. Company Facts</vt:lpstr>
      <vt:lpstr>3. Calc</vt:lpstr>
      <vt:lpstr>9. Weighting</vt:lpstr>
      <vt:lpstr>4. ECG-Matrix</vt:lpstr>
      <vt:lpstr>5. Values</vt:lpstr>
      <vt:lpstr>6. Stakeholder</vt:lpstr>
      <vt:lpstr>7. Topics</vt:lpstr>
      <vt:lpstr>8. Descr.Weighting</vt:lpstr>
      <vt:lpstr>9. Change-Management</vt:lpstr>
      <vt:lpstr>10. Industry</vt:lpstr>
      <vt:lpstr>11.Region</vt:lpstr>
      <vt:lpstr>12.lan</vt:lpstr>
      <vt:lpstr>Branche</vt:lpstr>
      <vt:lpstr>Branchen</vt:lpstr>
      <vt:lpstr>CountryCodes</vt:lpstr>
      <vt:lpstr>JaNein</vt:lpstr>
      <vt:lpstr>Regionen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Veronika Sharonova</cp:lastModifiedBy>
  <dcterms:created xsi:type="dcterms:W3CDTF">2018-07-24T07:18:55Z</dcterms:created>
  <dcterms:modified xsi:type="dcterms:W3CDTF">2022-10-07T07:04:11Z</dcterms:modified>
</cp:coreProperties>
</file>